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non-denise\Documents\"/>
    </mc:Choice>
  </mc:AlternateContent>
  <bookViews>
    <workbookView xWindow="240" yWindow="135" windowWidth="11670" windowHeight="5280" tabRatio="915"/>
  </bookViews>
  <sheets>
    <sheet name="Summary" sheetId="27" r:id="rId1"/>
    <sheet name="Effort Detail" sheetId="29" r:id="rId2"/>
    <sheet name="Init 1" sheetId="20" r:id="rId3"/>
    <sheet name="Init 2" sheetId="22" r:id="rId4"/>
    <sheet name="Init 3" sheetId="7" r:id="rId5"/>
    <sheet name="Init 4" sheetId="16" r:id="rId6"/>
    <sheet name="Init 5" sheetId="15" r:id="rId7"/>
    <sheet name="Init 6" sheetId="8" r:id="rId8"/>
    <sheet name="Init 7" sheetId="18" r:id="rId9"/>
    <sheet name="Init 8" sheetId="19" r:id="rId10"/>
    <sheet name="Init 9" sheetId="23" r:id="rId11"/>
    <sheet name="Init 10" sheetId="24" r:id="rId12"/>
    <sheet name="Init 11" sheetId="9" r:id="rId13"/>
    <sheet name="Init 12" sheetId="10" r:id="rId14"/>
    <sheet name="Init 13" sheetId="11" r:id="rId15"/>
    <sheet name="Init 14" sheetId="17" r:id="rId16"/>
    <sheet name="Init 15" sheetId="28" r:id="rId17"/>
    <sheet name="Assumptions" sheetId="1" r:id="rId18"/>
    <sheet name="Validation Lists" sheetId="6" r:id="rId19"/>
  </sheets>
  <externalReferences>
    <externalReference r:id="rId20"/>
  </externalReferences>
  <definedNames>
    <definedName name="ERP_License_Cost">[1]Assumptions!$B$5</definedName>
    <definedName name="Hours_Per_Week">[1]Assumptions!$B$3</definedName>
    <definedName name="Weeks_Per_Year">[1]Assumptions!$B$2</definedName>
  </definedNames>
  <calcPr calcId="152511" iterate="1"/>
</workbook>
</file>

<file path=xl/calcChain.xml><?xml version="1.0" encoding="utf-8"?>
<calcChain xmlns="http://schemas.openxmlformats.org/spreadsheetml/2006/main">
  <c r="K55" i="7" l="1"/>
  <c r="J55" i="7"/>
  <c r="I55" i="7"/>
  <c r="H55" i="7"/>
  <c r="G55" i="7"/>
  <c r="K51" i="7"/>
  <c r="J51" i="7"/>
  <c r="I51" i="7"/>
  <c r="H51" i="7"/>
  <c r="G51" i="7"/>
  <c r="K48" i="7"/>
  <c r="J48" i="7"/>
  <c r="I48" i="7"/>
  <c r="H48" i="7"/>
  <c r="G48" i="7"/>
  <c r="G23" i="22" l="1"/>
  <c r="K54" i="24" l="1"/>
  <c r="K51" i="24"/>
  <c r="K49" i="24"/>
  <c r="J54" i="24"/>
  <c r="J51" i="24"/>
  <c r="J49" i="24"/>
  <c r="I54" i="24"/>
  <c r="I51" i="24"/>
  <c r="I49" i="24"/>
  <c r="H54" i="24"/>
  <c r="H51" i="24"/>
  <c r="H49" i="24"/>
  <c r="G54" i="24"/>
  <c r="G51" i="24"/>
  <c r="G49" i="24"/>
  <c r="K53" i="23"/>
  <c r="J53" i="23"/>
  <c r="I53" i="23"/>
  <c r="H53" i="23"/>
  <c r="G53" i="23"/>
  <c r="K51" i="23"/>
  <c r="J51" i="23"/>
  <c r="I51" i="23"/>
  <c r="I27" i="23" s="1"/>
  <c r="H51" i="23"/>
  <c r="G51" i="23"/>
  <c r="K49" i="23"/>
  <c r="K27" i="23" s="1"/>
  <c r="J49" i="23"/>
  <c r="J27" i="23" s="1"/>
  <c r="I49" i="23"/>
  <c r="H49" i="23"/>
  <c r="H27" i="23" s="1"/>
  <c r="G49" i="23"/>
  <c r="G27" i="23" s="1"/>
  <c r="G27" i="24" l="1"/>
  <c r="F77" i="29"/>
  <c r="E77" i="29"/>
  <c r="D77" i="29"/>
  <c r="C77" i="29"/>
  <c r="B77" i="29"/>
  <c r="F75" i="29"/>
  <c r="E75" i="29"/>
  <c r="D75" i="29"/>
  <c r="C75" i="29"/>
  <c r="B75" i="29"/>
  <c r="F74" i="29"/>
  <c r="E74" i="29"/>
  <c r="D74" i="29"/>
  <c r="C74" i="29"/>
  <c r="B74" i="29"/>
  <c r="F67" i="29"/>
  <c r="E67" i="29"/>
  <c r="D67" i="29"/>
  <c r="C67" i="29"/>
  <c r="B67" i="29"/>
  <c r="F62" i="29"/>
  <c r="E62" i="29"/>
  <c r="D62" i="29"/>
  <c r="C62" i="29"/>
  <c r="B62" i="29"/>
  <c r="F60" i="29"/>
  <c r="E60" i="29"/>
  <c r="D60" i="29"/>
  <c r="C60" i="29"/>
  <c r="B60" i="29"/>
  <c r="F55" i="29"/>
  <c r="E55" i="29"/>
  <c r="D55" i="29"/>
  <c r="C55" i="29"/>
  <c r="B55" i="29"/>
  <c r="F51" i="29"/>
  <c r="E51" i="29"/>
  <c r="D51" i="29"/>
  <c r="C51" i="29"/>
  <c r="B51" i="29"/>
  <c r="F50" i="29"/>
  <c r="E50" i="29"/>
  <c r="D50" i="29"/>
  <c r="C50" i="29"/>
  <c r="B50" i="29"/>
  <c r="F46" i="29"/>
  <c r="E46" i="29"/>
  <c r="D46" i="29"/>
  <c r="C46" i="29"/>
  <c r="B46" i="29"/>
  <c r="F45" i="29"/>
  <c r="E45" i="29"/>
  <c r="D45" i="29"/>
  <c r="C45" i="29"/>
  <c r="B45" i="29"/>
  <c r="F41" i="29"/>
  <c r="E41" i="29"/>
  <c r="D41" i="29"/>
  <c r="C41" i="29"/>
  <c r="B41" i="29"/>
  <c r="F40" i="29"/>
  <c r="E40" i="29"/>
  <c r="D40" i="29"/>
  <c r="C40" i="29"/>
  <c r="B40" i="29"/>
  <c r="F36" i="29"/>
  <c r="E36" i="29"/>
  <c r="D36" i="29"/>
  <c r="C36" i="29"/>
  <c r="B36" i="29"/>
  <c r="F34" i="29"/>
  <c r="F31" i="29"/>
  <c r="E31" i="29"/>
  <c r="D31" i="29"/>
  <c r="C31" i="29"/>
  <c r="B31" i="29"/>
  <c r="F26" i="29"/>
  <c r="E26" i="29"/>
  <c r="D26" i="29"/>
  <c r="C26" i="29"/>
  <c r="B26" i="29"/>
  <c r="F25" i="29"/>
  <c r="E25" i="29"/>
  <c r="D25" i="29"/>
  <c r="C25" i="29"/>
  <c r="B25" i="29"/>
  <c r="F20" i="29"/>
  <c r="E20" i="29"/>
  <c r="D20" i="29"/>
  <c r="C20" i="29"/>
  <c r="B20" i="29"/>
  <c r="F16" i="29"/>
  <c r="E16" i="29"/>
  <c r="D16" i="29"/>
  <c r="C16" i="29"/>
  <c r="B16" i="29"/>
  <c r="F15" i="29"/>
  <c r="E15" i="29"/>
  <c r="D15" i="29"/>
  <c r="C15" i="29"/>
  <c r="B15" i="29"/>
  <c r="F6" i="29"/>
  <c r="E6" i="29"/>
  <c r="D6" i="29"/>
  <c r="C6" i="29"/>
  <c r="B6" i="29"/>
  <c r="F5" i="29"/>
  <c r="E5" i="29"/>
  <c r="D5" i="29"/>
  <c r="C5" i="29"/>
  <c r="B5" i="29"/>
  <c r="G61" i="22" l="1"/>
  <c r="G48" i="22"/>
  <c r="H28" i="22" l="1"/>
  <c r="I28" i="22"/>
  <c r="J28" i="22"/>
  <c r="K28" i="22"/>
  <c r="H27" i="22"/>
  <c r="C12" i="29" s="1"/>
  <c r="I27" i="22"/>
  <c r="J27" i="22"/>
  <c r="K27" i="22"/>
  <c r="H22" i="22"/>
  <c r="I22" i="22"/>
  <c r="J22" i="22"/>
  <c r="K22" i="22"/>
  <c r="H21" i="22"/>
  <c r="C9" i="29" s="1"/>
  <c r="I21" i="22"/>
  <c r="D9" i="29" s="1"/>
  <c r="J21" i="22"/>
  <c r="E9" i="29" s="1"/>
  <c r="K21" i="22"/>
  <c r="F9" i="29" s="1"/>
  <c r="H52" i="8"/>
  <c r="I47" i="8"/>
  <c r="J47" i="8"/>
  <c r="K47" i="8"/>
  <c r="I48" i="8"/>
  <c r="J48" i="8"/>
  <c r="K48" i="8"/>
  <c r="I49" i="8"/>
  <c r="J49" i="8"/>
  <c r="K49" i="8"/>
  <c r="I50" i="8"/>
  <c r="J50" i="8"/>
  <c r="K50" i="8"/>
  <c r="I51" i="8"/>
  <c r="J51" i="8"/>
  <c r="K51" i="8"/>
  <c r="I52" i="8"/>
  <c r="J52" i="8"/>
  <c r="K52" i="8"/>
  <c r="I53" i="8"/>
  <c r="J53" i="8"/>
  <c r="K53" i="8"/>
  <c r="I54" i="8"/>
  <c r="J54" i="8"/>
  <c r="K54" i="8"/>
  <c r="I55" i="8"/>
  <c r="J55" i="8"/>
  <c r="K55" i="8"/>
  <c r="I56" i="8"/>
  <c r="J56" i="8"/>
  <c r="K56" i="8"/>
  <c r="I57" i="8"/>
  <c r="J57" i="8"/>
  <c r="K57" i="8"/>
  <c r="I58" i="8"/>
  <c r="J58" i="8"/>
  <c r="K58" i="8"/>
  <c r="I59" i="8"/>
  <c r="J59" i="8"/>
  <c r="K59" i="8"/>
  <c r="I60" i="8"/>
  <c r="J60" i="8"/>
  <c r="K60" i="8"/>
  <c r="I61" i="8"/>
  <c r="J61" i="8"/>
  <c r="K61" i="8"/>
  <c r="I62" i="8"/>
  <c r="J62" i="8"/>
  <c r="K62" i="8"/>
  <c r="I63" i="8"/>
  <c r="J63" i="8"/>
  <c r="K63" i="8"/>
  <c r="I64" i="8"/>
  <c r="J64" i="8"/>
  <c r="K64" i="8"/>
  <c r="I65" i="8"/>
  <c r="J65" i="8"/>
  <c r="K65" i="8"/>
  <c r="I66" i="8"/>
  <c r="J66" i="8"/>
  <c r="K66" i="8"/>
  <c r="H48" i="8"/>
  <c r="H49" i="8"/>
  <c r="H50" i="8"/>
  <c r="H51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47" i="8"/>
  <c r="G28" i="8"/>
  <c r="B32" i="29" s="1"/>
  <c r="G22" i="8"/>
  <c r="F12" i="29" l="1"/>
  <c r="E12" i="29"/>
  <c r="D12" i="29"/>
  <c r="G32" i="8"/>
  <c r="G21" i="8"/>
  <c r="B29" i="29" s="1"/>
  <c r="B28" i="29" s="1"/>
  <c r="H22" i="23" l="1"/>
  <c r="C44" i="29" s="1"/>
  <c r="I22" i="23"/>
  <c r="D44" i="29" s="1"/>
  <c r="J22" i="23"/>
  <c r="E44" i="29" s="1"/>
  <c r="K22" i="23"/>
  <c r="F44" i="29" s="1"/>
  <c r="G22" i="23"/>
  <c r="B44" i="29" s="1"/>
  <c r="H32" i="23"/>
  <c r="I32" i="23"/>
  <c r="J32" i="23"/>
  <c r="K32" i="23"/>
  <c r="G32" i="23"/>
  <c r="G32" i="15"/>
  <c r="H22" i="15"/>
  <c r="C24" i="29" s="1"/>
  <c r="I22" i="15"/>
  <c r="D24" i="29" s="1"/>
  <c r="J22" i="15"/>
  <c r="E24" i="29" s="1"/>
  <c r="K22" i="15"/>
  <c r="F24" i="29" s="1"/>
  <c r="G22" i="15"/>
  <c r="B24" i="29" s="1"/>
  <c r="H32" i="24"/>
  <c r="G32" i="24"/>
  <c r="H22" i="24"/>
  <c r="C49" i="29" s="1"/>
  <c r="I22" i="24"/>
  <c r="D49" i="29" s="1"/>
  <c r="J22" i="24"/>
  <c r="E49" i="29" s="1"/>
  <c r="K22" i="24"/>
  <c r="F49" i="29" s="1"/>
  <c r="G22" i="24"/>
  <c r="B49" i="29" s="1"/>
  <c r="I32" i="24"/>
  <c r="J32" i="24"/>
  <c r="K32" i="24"/>
  <c r="H21" i="17"/>
  <c r="C69" i="29" s="1"/>
  <c r="I21" i="17"/>
  <c r="D69" i="29" s="1"/>
  <c r="J21" i="17"/>
  <c r="E69" i="29" s="1"/>
  <c r="K21" i="17"/>
  <c r="F69" i="29" s="1"/>
  <c r="G21" i="17"/>
  <c r="B69" i="29" s="1"/>
  <c r="H32" i="17"/>
  <c r="I32" i="17"/>
  <c r="J32" i="17"/>
  <c r="K32" i="17"/>
  <c r="G32" i="17"/>
  <c r="G57" i="19"/>
  <c r="G51" i="19"/>
  <c r="G49" i="19"/>
  <c r="H22" i="7"/>
  <c r="I22" i="7"/>
  <c r="J22" i="7"/>
  <c r="K22" i="7"/>
  <c r="G22" i="7"/>
  <c r="H32" i="16"/>
  <c r="I32" i="16"/>
  <c r="J32" i="16"/>
  <c r="K32" i="16"/>
  <c r="G32" i="16"/>
  <c r="H22" i="16"/>
  <c r="C19" i="29" s="1"/>
  <c r="I22" i="16"/>
  <c r="D19" i="29" s="1"/>
  <c r="J22" i="16"/>
  <c r="E19" i="29" s="1"/>
  <c r="K22" i="16"/>
  <c r="F19" i="29" s="1"/>
  <c r="G22" i="16"/>
  <c r="B19" i="29" s="1"/>
  <c r="G21" i="22"/>
  <c r="B9" i="29" s="1"/>
  <c r="H32" i="22"/>
  <c r="I32" i="22"/>
  <c r="J32" i="22"/>
  <c r="K32" i="22"/>
  <c r="H33" i="22"/>
  <c r="I33" i="22"/>
  <c r="J33" i="22"/>
  <c r="K33" i="22"/>
  <c r="H34" i="22"/>
  <c r="I34" i="22"/>
  <c r="J34" i="22"/>
  <c r="K34" i="22"/>
  <c r="H35" i="22"/>
  <c r="I35" i="22"/>
  <c r="J35" i="22"/>
  <c r="K35" i="22"/>
  <c r="H40" i="22"/>
  <c r="I40" i="22"/>
  <c r="J40" i="22"/>
  <c r="K40" i="22"/>
  <c r="H41" i="22"/>
  <c r="I41" i="22"/>
  <c r="I42" i="22" s="1"/>
  <c r="J41" i="22"/>
  <c r="K41" i="22"/>
  <c r="H42" i="22"/>
  <c r="J42" i="22"/>
  <c r="K42" i="22"/>
  <c r="G32" i="22"/>
  <c r="G35" i="22"/>
  <c r="G34" i="22"/>
  <c r="G33" i="22"/>
  <c r="G22" i="22"/>
  <c r="G45" i="24" l="1"/>
  <c r="B52" i="29"/>
  <c r="B48" i="29" s="1"/>
  <c r="I38" i="22"/>
  <c r="H38" i="22"/>
  <c r="K38" i="22"/>
  <c r="J38" i="22"/>
  <c r="I32" i="8"/>
  <c r="I21" i="8"/>
  <c r="K32" i="8"/>
  <c r="K21" i="8"/>
  <c r="H21" i="8"/>
  <c r="H32" i="8"/>
  <c r="J21" i="8"/>
  <c r="J32" i="8"/>
  <c r="B6" i="1"/>
  <c r="J50" i="20" l="1"/>
  <c r="H50" i="20"/>
  <c r="J49" i="20"/>
  <c r="J20" i="20" s="1"/>
  <c r="H49" i="20"/>
  <c r="H20" i="20" s="1"/>
  <c r="K50" i="20"/>
  <c r="I50" i="20"/>
  <c r="G49" i="20"/>
  <c r="K49" i="20"/>
  <c r="K20" i="20" s="1"/>
  <c r="I49" i="20"/>
  <c r="G50" i="20"/>
  <c r="K21" i="20"/>
  <c r="I20" i="20"/>
  <c r="H21" i="20"/>
  <c r="I21" i="20"/>
  <c r="J21" i="20"/>
  <c r="H28" i="20"/>
  <c r="I28" i="20"/>
  <c r="J28" i="20"/>
  <c r="K28" i="20"/>
  <c r="H30" i="20"/>
  <c r="I30" i="20"/>
  <c r="J30" i="20"/>
  <c r="K30" i="20"/>
  <c r="G28" i="22"/>
  <c r="G27" i="22"/>
  <c r="G25" i="22"/>
  <c r="B10" i="29" s="1"/>
  <c r="G24" i="22"/>
  <c r="B11" i="29" s="1"/>
  <c r="G21" i="20"/>
  <c r="G74" i="27"/>
  <c r="E74" i="27"/>
  <c r="H22" i="19"/>
  <c r="I22" i="19"/>
  <c r="J22" i="19"/>
  <c r="K22" i="19"/>
  <c r="H23" i="19"/>
  <c r="I23" i="19"/>
  <c r="I33" i="19" s="1"/>
  <c r="J23" i="19"/>
  <c r="K23" i="19"/>
  <c r="K74" i="27" s="1"/>
  <c r="H30" i="19"/>
  <c r="C42" i="29" s="1"/>
  <c r="I30" i="19"/>
  <c r="D42" i="29" s="1"/>
  <c r="J30" i="19"/>
  <c r="K30" i="19"/>
  <c r="F42" i="29" s="1"/>
  <c r="K33" i="19"/>
  <c r="G34" i="19"/>
  <c r="G22" i="19"/>
  <c r="K148" i="27"/>
  <c r="K147" i="27"/>
  <c r="K146" i="27"/>
  <c r="K145" i="27"/>
  <c r="K144" i="27"/>
  <c r="I148" i="27"/>
  <c r="I147" i="27"/>
  <c r="I145" i="27"/>
  <c r="I144" i="27"/>
  <c r="G148" i="27"/>
  <c r="G147" i="27"/>
  <c r="G145" i="27"/>
  <c r="G144" i="27"/>
  <c r="E148" i="27"/>
  <c r="E147" i="27"/>
  <c r="E145" i="27"/>
  <c r="E144" i="27"/>
  <c r="C148" i="27"/>
  <c r="C147" i="27"/>
  <c r="C145" i="27"/>
  <c r="C144" i="27"/>
  <c r="H24" i="28"/>
  <c r="C76" i="29" s="1"/>
  <c r="C73" i="29" s="1"/>
  <c r="I24" i="28"/>
  <c r="D76" i="29" s="1"/>
  <c r="D73" i="29" s="1"/>
  <c r="J24" i="28"/>
  <c r="E76" i="29" s="1"/>
  <c r="E73" i="29" s="1"/>
  <c r="K24" i="28"/>
  <c r="F76" i="29" s="1"/>
  <c r="F73" i="29" s="1"/>
  <c r="E7" i="19"/>
  <c r="B20" i="1"/>
  <c r="C20" i="1" s="1"/>
  <c r="G7" i="19" s="1"/>
  <c r="G93" i="19" s="1"/>
  <c r="G101" i="19" s="1"/>
  <c r="J45" i="19" l="1"/>
  <c r="E39" i="29"/>
  <c r="I74" i="27"/>
  <c r="G146" i="27"/>
  <c r="H33" i="19"/>
  <c r="H45" i="19"/>
  <c r="C39" i="29"/>
  <c r="C38" i="29" s="1"/>
  <c r="B12" i="29"/>
  <c r="J33" i="19"/>
  <c r="E42" i="29"/>
  <c r="E146" i="27"/>
  <c r="E151" i="27" s="1"/>
  <c r="I45" i="19"/>
  <c r="J46" i="19" s="1"/>
  <c r="D39" i="29"/>
  <c r="D38" i="29" s="1"/>
  <c r="I146" i="27"/>
  <c r="K45" i="19"/>
  <c r="K46" i="19" s="1"/>
  <c r="F39" i="29"/>
  <c r="F38" i="29" s="1"/>
  <c r="B8" i="29"/>
  <c r="G43" i="22"/>
  <c r="G45" i="22"/>
  <c r="G31" i="22"/>
  <c r="K151" i="27"/>
  <c r="I151" i="27"/>
  <c r="G151" i="27"/>
  <c r="H7" i="19"/>
  <c r="K143" i="27"/>
  <c r="G143" i="27"/>
  <c r="I143" i="27"/>
  <c r="I46" i="19" l="1"/>
  <c r="E143" i="27"/>
  <c r="E38" i="29"/>
  <c r="I7" i="19"/>
  <c r="H93" i="19"/>
  <c r="H101" i="19" s="1"/>
  <c r="J7" i="19" l="1"/>
  <c r="I93" i="19"/>
  <c r="I101" i="19" s="1"/>
  <c r="K7" i="19" l="1"/>
  <c r="K93" i="19" s="1"/>
  <c r="K101" i="19" s="1"/>
  <c r="J93" i="19"/>
  <c r="J101" i="19" s="1"/>
  <c r="K43" i="23" l="1"/>
  <c r="K44" i="23" s="1"/>
  <c r="J43" i="23"/>
  <c r="I43" i="23"/>
  <c r="H43" i="23"/>
  <c r="H44" i="23" s="1"/>
  <c r="G43" i="23"/>
  <c r="G44" i="23" s="1"/>
  <c r="G45" i="28"/>
  <c r="G46" i="28" s="1"/>
  <c r="H34" i="28"/>
  <c r="I34" i="28"/>
  <c r="J34" i="28"/>
  <c r="K34" i="28"/>
  <c r="H43" i="28"/>
  <c r="I43" i="28"/>
  <c r="I44" i="28" s="1"/>
  <c r="J43" i="28"/>
  <c r="J44" i="28" s="1"/>
  <c r="K43" i="28"/>
  <c r="K89" i="28"/>
  <c r="J89" i="28"/>
  <c r="I89" i="28"/>
  <c r="H89" i="28"/>
  <c r="K86" i="28"/>
  <c r="K90" i="28" s="1"/>
  <c r="J86" i="28"/>
  <c r="J90" i="28" s="1"/>
  <c r="I86" i="28"/>
  <c r="I90" i="28" s="1"/>
  <c r="H86" i="28"/>
  <c r="K103" i="28"/>
  <c r="J152" i="27" s="1"/>
  <c r="J103" i="28"/>
  <c r="H152" i="27" s="1"/>
  <c r="I103" i="28"/>
  <c r="F152" i="27" s="1"/>
  <c r="H103" i="28"/>
  <c r="D152" i="27" s="1"/>
  <c r="G103" i="28"/>
  <c r="B152" i="27" s="1"/>
  <c r="K101" i="28"/>
  <c r="J150" i="27" s="1"/>
  <c r="J101" i="28"/>
  <c r="H150" i="27" s="1"/>
  <c r="I101" i="28"/>
  <c r="F150" i="27" s="1"/>
  <c r="H101" i="28"/>
  <c r="D150" i="27" s="1"/>
  <c r="G101" i="28"/>
  <c r="B150" i="27" s="1"/>
  <c r="K96" i="28"/>
  <c r="J145" i="27" s="1"/>
  <c r="J96" i="28"/>
  <c r="H145" i="27" s="1"/>
  <c r="I96" i="28"/>
  <c r="F145" i="27" s="1"/>
  <c r="H96" i="28"/>
  <c r="D145" i="27" s="1"/>
  <c r="G96" i="28"/>
  <c r="B145" i="27" s="1"/>
  <c r="H90" i="28"/>
  <c r="G90" i="28"/>
  <c r="G52" i="28"/>
  <c r="G48" i="28"/>
  <c r="G47" i="28"/>
  <c r="G24" i="28" s="1"/>
  <c r="K40" i="28"/>
  <c r="K41" i="28" s="1"/>
  <c r="K42" i="28" s="1"/>
  <c r="J40" i="28"/>
  <c r="J41" i="28" s="1"/>
  <c r="I40" i="28"/>
  <c r="I41" i="28" s="1"/>
  <c r="I42" i="28" s="1"/>
  <c r="H40" i="28"/>
  <c r="H41" i="28" s="1"/>
  <c r="H42" i="28" s="1"/>
  <c r="G40" i="28"/>
  <c r="G41" i="28" s="1"/>
  <c r="G42" i="28" s="1"/>
  <c r="G18" i="28"/>
  <c r="E18" i="28"/>
  <c r="G17" i="28"/>
  <c r="E17" i="28"/>
  <c r="G16" i="28"/>
  <c r="E16" i="28"/>
  <c r="G15" i="28"/>
  <c r="E15" i="28"/>
  <c r="E14" i="28"/>
  <c r="E13" i="28"/>
  <c r="E12" i="28"/>
  <c r="E11" i="28"/>
  <c r="E10" i="28"/>
  <c r="E9" i="28"/>
  <c r="E8" i="28"/>
  <c r="E7" i="28"/>
  <c r="E6" i="28"/>
  <c r="E5" i="28"/>
  <c r="E4" i="28"/>
  <c r="E3" i="28"/>
  <c r="B76" i="29" l="1"/>
  <c r="B73" i="29" s="1"/>
  <c r="C146" i="27"/>
  <c r="C143" i="27" s="1"/>
  <c r="I44" i="23"/>
  <c r="G43" i="28"/>
  <c r="G44" i="28" s="1"/>
  <c r="J44" i="23"/>
  <c r="K44" i="28"/>
  <c r="G34" i="28"/>
  <c r="L152" i="27"/>
  <c r="L145" i="27"/>
  <c r="H15" i="28"/>
  <c r="I15" i="28" s="1"/>
  <c r="J15" i="28" s="1"/>
  <c r="K15" i="28" s="1"/>
  <c r="H17" i="28"/>
  <c r="I17" i="28" s="1"/>
  <c r="J17" i="28" s="1"/>
  <c r="K17" i="28" s="1"/>
  <c r="H18" i="28"/>
  <c r="I18" i="28" s="1"/>
  <c r="J18" i="28" s="1"/>
  <c r="K18" i="28" s="1"/>
  <c r="H16" i="28"/>
  <c r="I16" i="28" s="1"/>
  <c r="J16" i="28" s="1"/>
  <c r="K16" i="28" s="1"/>
  <c r="J42" i="28"/>
  <c r="G99" i="28"/>
  <c r="B148" i="27" s="1"/>
  <c r="K45" i="28"/>
  <c r="H45" i="28"/>
  <c r="H46" i="28" s="1"/>
  <c r="J45" i="28"/>
  <c r="G98" i="28"/>
  <c r="B147" i="27" s="1"/>
  <c r="G24" i="16"/>
  <c r="H24" i="16"/>
  <c r="I24" i="16"/>
  <c r="J24" i="16"/>
  <c r="K24" i="16"/>
  <c r="J43" i="16" l="1"/>
  <c r="E21" i="29"/>
  <c r="I43" i="16"/>
  <c r="D21" i="29"/>
  <c r="K43" i="16"/>
  <c r="K44" i="16" s="1"/>
  <c r="F21" i="29"/>
  <c r="K46" i="28"/>
  <c r="H44" i="28"/>
  <c r="G43" i="16"/>
  <c r="G44" i="16" s="1"/>
  <c r="B21" i="29"/>
  <c r="H43" i="16"/>
  <c r="C21" i="29"/>
  <c r="I36" i="27"/>
  <c r="G36" i="27"/>
  <c r="E36" i="27"/>
  <c r="I98" i="28"/>
  <c r="F147" i="27" s="1"/>
  <c r="J31" i="28"/>
  <c r="I45" i="28"/>
  <c r="I46" i="28" s="1"/>
  <c r="K95" i="28"/>
  <c r="J98" i="28"/>
  <c r="H147" i="27" s="1"/>
  <c r="G95" i="28"/>
  <c r="K31" i="28"/>
  <c r="K99" i="28"/>
  <c r="J148" i="27" s="1"/>
  <c r="G31" i="28"/>
  <c r="H95" i="28"/>
  <c r="I99" i="28"/>
  <c r="F148" i="27" s="1"/>
  <c r="I31" i="28"/>
  <c r="H98" i="28"/>
  <c r="D147" i="27" s="1"/>
  <c r="J99" i="28"/>
  <c r="H148" i="27" s="1"/>
  <c r="K98" i="28"/>
  <c r="J147" i="27" s="1"/>
  <c r="H99" i="28"/>
  <c r="D148" i="27" s="1"/>
  <c r="H31" i="28"/>
  <c r="J95" i="28"/>
  <c r="I95" i="28"/>
  <c r="K7" i="27"/>
  <c r="K6" i="27"/>
  <c r="K5" i="27"/>
  <c r="I7" i="27"/>
  <c r="I6" i="27"/>
  <c r="I5" i="27"/>
  <c r="G7" i="27"/>
  <c r="G6" i="27"/>
  <c r="G5" i="27"/>
  <c r="E7" i="27"/>
  <c r="E6" i="27"/>
  <c r="E5" i="27"/>
  <c r="C7" i="27"/>
  <c r="C6" i="27"/>
  <c r="C5" i="27"/>
  <c r="K77" i="27"/>
  <c r="K76" i="27"/>
  <c r="K75" i="27"/>
  <c r="I77" i="27"/>
  <c r="I76" i="27"/>
  <c r="I75" i="27"/>
  <c r="G77" i="27"/>
  <c r="G76" i="27"/>
  <c r="G75" i="27"/>
  <c r="E77" i="27"/>
  <c r="E76" i="27"/>
  <c r="E75" i="27"/>
  <c r="C77" i="27"/>
  <c r="C76" i="27"/>
  <c r="C75" i="27"/>
  <c r="K67" i="27"/>
  <c r="K66" i="27"/>
  <c r="K64" i="27"/>
  <c r="I67" i="27"/>
  <c r="I66" i="27"/>
  <c r="G67" i="27"/>
  <c r="G66" i="27"/>
  <c r="E67" i="27"/>
  <c r="E66" i="27"/>
  <c r="C66" i="27"/>
  <c r="C67" i="27"/>
  <c r="K134" i="27"/>
  <c r="I134" i="27"/>
  <c r="G134" i="27"/>
  <c r="K128" i="27"/>
  <c r="I128" i="27"/>
  <c r="G128" i="27"/>
  <c r="E128" i="27"/>
  <c r="C128" i="27"/>
  <c r="K118" i="27"/>
  <c r="K117" i="27"/>
  <c r="K115" i="27"/>
  <c r="I118" i="27"/>
  <c r="I117" i="27"/>
  <c r="I115" i="27"/>
  <c r="G118" i="27"/>
  <c r="G117" i="27"/>
  <c r="G115" i="27"/>
  <c r="E118" i="27"/>
  <c r="E117" i="27"/>
  <c r="E115" i="27"/>
  <c r="C118" i="27"/>
  <c r="C117" i="27"/>
  <c r="C115" i="27"/>
  <c r="K107" i="27"/>
  <c r="K105" i="27"/>
  <c r="I107" i="27"/>
  <c r="I105" i="27"/>
  <c r="G107" i="27"/>
  <c r="G105" i="27"/>
  <c r="E107" i="27"/>
  <c r="E105" i="27"/>
  <c r="C107" i="27"/>
  <c r="C105" i="27"/>
  <c r="K56" i="27"/>
  <c r="I56" i="27"/>
  <c r="G56" i="27"/>
  <c r="E56" i="27"/>
  <c r="C56" i="27"/>
  <c r="K87" i="27"/>
  <c r="K86" i="27"/>
  <c r="K85" i="27"/>
  <c r="K84" i="27"/>
  <c r="I87" i="27"/>
  <c r="I86" i="27"/>
  <c r="I85" i="27"/>
  <c r="I84" i="27"/>
  <c r="G87" i="27"/>
  <c r="G86" i="27"/>
  <c r="G85" i="27"/>
  <c r="G84" i="27"/>
  <c r="E87" i="27"/>
  <c r="E86" i="27"/>
  <c r="E85" i="27"/>
  <c r="E84" i="27"/>
  <c r="C87" i="27"/>
  <c r="C86" i="27"/>
  <c r="C85" i="27"/>
  <c r="C84" i="27"/>
  <c r="K97" i="27"/>
  <c r="K96" i="27"/>
  <c r="K95" i="27"/>
  <c r="K94" i="27"/>
  <c r="I97" i="27"/>
  <c r="I96" i="27"/>
  <c r="I95" i="27"/>
  <c r="I94" i="27"/>
  <c r="G97" i="27"/>
  <c r="G96" i="27"/>
  <c r="G95" i="27"/>
  <c r="G94" i="27"/>
  <c r="E97" i="27"/>
  <c r="E96" i="27"/>
  <c r="E95" i="27"/>
  <c r="E94" i="27"/>
  <c r="C97" i="27"/>
  <c r="C96" i="27"/>
  <c r="C95" i="27"/>
  <c r="C94" i="27"/>
  <c r="K37" i="27"/>
  <c r="K35" i="27"/>
  <c r="K34" i="27"/>
  <c r="I37" i="27"/>
  <c r="I35" i="27"/>
  <c r="I34" i="27"/>
  <c r="G37" i="27"/>
  <c r="G35" i="27"/>
  <c r="G34" i="27"/>
  <c r="E37" i="27"/>
  <c r="E35" i="27"/>
  <c r="E34" i="27"/>
  <c r="C37" i="27"/>
  <c r="C35" i="27"/>
  <c r="C34" i="27"/>
  <c r="K47" i="27"/>
  <c r="K46" i="27"/>
  <c r="K45" i="27"/>
  <c r="K44" i="27"/>
  <c r="I47" i="27"/>
  <c r="I46" i="27"/>
  <c r="I45" i="27"/>
  <c r="I44" i="27"/>
  <c r="G47" i="27"/>
  <c r="G46" i="27"/>
  <c r="G45" i="27"/>
  <c r="G44" i="27"/>
  <c r="E47" i="27"/>
  <c r="E46" i="27"/>
  <c r="E45" i="27"/>
  <c r="E44" i="27"/>
  <c r="C47" i="27"/>
  <c r="C46" i="27"/>
  <c r="C45" i="27"/>
  <c r="C44" i="27"/>
  <c r="K27" i="27"/>
  <c r="K26" i="27"/>
  <c r="K25" i="27"/>
  <c r="I27" i="27"/>
  <c r="I26" i="27"/>
  <c r="I25" i="27"/>
  <c r="G27" i="27"/>
  <c r="G26" i="27"/>
  <c r="G25" i="27"/>
  <c r="E27" i="27"/>
  <c r="E26" i="27"/>
  <c r="E25" i="27"/>
  <c r="C27" i="27"/>
  <c r="C26" i="27"/>
  <c r="C25" i="27"/>
  <c r="K15" i="27"/>
  <c r="I15" i="27"/>
  <c r="G15" i="27"/>
  <c r="E15" i="27"/>
  <c r="C15" i="27"/>
  <c r="H42" i="19"/>
  <c r="I42" i="19"/>
  <c r="J42" i="19"/>
  <c r="K42" i="19"/>
  <c r="G42" i="19"/>
  <c r="H34" i="19"/>
  <c r="H40" i="19" s="1"/>
  <c r="I34" i="19"/>
  <c r="I40" i="19" s="1"/>
  <c r="J34" i="19"/>
  <c r="J40" i="19" s="1"/>
  <c r="K34" i="19"/>
  <c r="K40" i="19" s="1"/>
  <c r="H40" i="18"/>
  <c r="I40" i="18"/>
  <c r="J40" i="18"/>
  <c r="K40" i="18"/>
  <c r="G40" i="18"/>
  <c r="H32" i="18"/>
  <c r="I32" i="18"/>
  <c r="J32" i="18"/>
  <c r="K32" i="18"/>
  <c r="G32" i="18"/>
  <c r="H40" i="17"/>
  <c r="I40" i="17"/>
  <c r="J40" i="17"/>
  <c r="K40" i="17"/>
  <c r="G40" i="17"/>
  <c r="H40" i="11"/>
  <c r="I40" i="11"/>
  <c r="J40" i="11"/>
  <c r="K40" i="11"/>
  <c r="G40" i="11"/>
  <c r="K32" i="11"/>
  <c r="H32" i="11"/>
  <c r="I32" i="11"/>
  <c r="J32" i="11"/>
  <c r="G32" i="11"/>
  <c r="H40" i="10"/>
  <c r="I40" i="10"/>
  <c r="J40" i="10"/>
  <c r="K40" i="10"/>
  <c r="G40" i="10"/>
  <c r="H32" i="10"/>
  <c r="I32" i="10"/>
  <c r="J32" i="10"/>
  <c r="K32" i="10"/>
  <c r="G32" i="10"/>
  <c r="H40" i="9"/>
  <c r="I40" i="9"/>
  <c r="J40" i="9"/>
  <c r="K40" i="9"/>
  <c r="G40" i="9"/>
  <c r="H32" i="9"/>
  <c r="I32" i="9"/>
  <c r="J32" i="9"/>
  <c r="K32" i="9"/>
  <c r="G32" i="9"/>
  <c r="H40" i="8"/>
  <c r="I40" i="8"/>
  <c r="J40" i="8"/>
  <c r="K40" i="8"/>
  <c r="G40" i="8"/>
  <c r="H40" i="23"/>
  <c r="I40" i="23"/>
  <c r="J40" i="23"/>
  <c r="K40" i="23"/>
  <c r="G40" i="23"/>
  <c r="H38" i="23"/>
  <c r="I38" i="23"/>
  <c r="J38" i="23"/>
  <c r="K38" i="23"/>
  <c r="G38" i="23"/>
  <c r="H40" i="20"/>
  <c r="I40" i="20"/>
  <c r="J40" i="20"/>
  <c r="K40" i="20"/>
  <c r="G40" i="20"/>
  <c r="H40" i="24"/>
  <c r="I40" i="24"/>
  <c r="J40" i="24"/>
  <c r="K40" i="24"/>
  <c r="G40" i="24"/>
  <c r="H38" i="24"/>
  <c r="I38" i="24"/>
  <c r="J38" i="24"/>
  <c r="K38" i="24"/>
  <c r="G38" i="24"/>
  <c r="H40" i="16"/>
  <c r="I40" i="16"/>
  <c r="J40" i="16"/>
  <c r="K40" i="16"/>
  <c r="G40" i="16"/>
  <c r="H40" i="15"/>
  <c r="I40" i="15"/>
  <c r="J40" i="15"/>
  <c r="K40" i="15"/>
  <c r="G40" i="15"/>
  <c r="H38" i="15"/>
  <c r="I38" i="15"/>
  <c r="J38" i="15"/>
  <c r="K38" i="15"/>
  <c r="G38" i="15"/>
  <c r="H40" i="7"/>
  <c r="I40" i="7"/>
  <c r="J40" i="7"/>
  <c r="K40" i="7"/>
  <c r="G40" i="7"/>
  <c r="G40" i="22"/>
  <c r="J46" i="28" l="1"/>
  <c r="J44" i="16"/>
  <c r="H44" i="16"/>
  <c r="I44" i="16"/>
  <c r="J144" i="27"/>
  <c r="B144" i="27"/>
  <c r="F144" i="27"/>
  <c r="H144" i="27"/>
  <c r="D144" i="27"/>
  <c r="G81" i="28"/>
  <c r="G85" i="28" s="1"/>
  <c r="L144" i="27" l="1"/>
  <c r="G100" i="28"/>
  <c r="G90" i="10"/>
  <c r="B120" i="27" s="1"/>
  <c r="H90" i="10"/>
  <c r="D120" i="27" s="1"/>
  <c r="I90" i="10"/>
  <c r="F120" i="27" s="1"/>
  <c r="J90" i="10"/>
  <c r="H120" i="27" s="1"/>
  <c r="K90" i="10"/>
  <c r="J120" i="27" s="1"/>
  <c r="G113" i="16"/>
  <c r="B40" i="27" s="1"/>
  <c r="H113" i="16"/>
  <c r="D40" i="27" s="1"/>
  <c r="I113" i="16"/>
  <c r="F40" i="27" s="1"/>
  <c r="J113" i="16"/>
  <c r="H40" i="27" s="1"/>
  <c r="K113" i="16"/>
  <c r="J40" i="27" s="1"/>
  <c r="H41" i="20"/>
  <c r="I41" i="20"/>
  <c r="J41" i="20"/>
  <c r="K41" i="20"/>
  <c r="H42" i="20"/>
  <c r="I42" i="20"/>
  <c r="J42" i="20"/>
  <c r="K42" i="20"/>
  <c r="G28" i="20"/>
  <c r="C98" i="27"/>
  <c r="C93" i="27" l="1"/>
  <c r="C101" i="27"/>
  <c r="B149" i="27"/>
  <c r="L40" i="27"/>
  <c r="L120" i="27"/>
  <c r="G30" i="20"/>
  <c r="D47" i="29"/>
  <c r="H27" i="24"/>
  <c r="C52" i="29" s="1"/>
  <c r="C48" i="29" s="1"/>
  <c r="K27" i="24"/>
  <c r="F52" i="29" s="1"/>
  <c r="F48" i="29" s="1"/>
  <c r="J27" i="24"/>
  <c r="E52" i="29" s="1"/>
  <c r="E48" i="29" s="1"/>
  <c r="I27" i="24"/>
  <c r="D52" i="29" s="1"/>
  <c r="D48" i="29" s="1"/>
  <c r="K25" i="22"/>
  <c r="K17" i="27" s="1"/>
  <c r="K45" i="22"/>
  <c r="K24" i="22"/>
  <c r="F11" i="29" s="1"/>
  <c r="C17" i="27"/>
  <c r="I45" i="22"/>
  <c r="I46" i="22" s="1"/>
  <c r="I24" i="22"/>
  <c r="D11" i="29" s="1"/>
  <c r="C14" i="27"/>
  <c r="I14" i="27"/>
  <c r="K14" i="27"/>
  <c r="J25" i="22"/>
  <c r="I17" i="27" s="1"/>
  <c r="C18" i="27"/>
  <c r="H45" i="22"/>
  <c r="H46" i="22" s="1"/>
  <c r="J45" i="22"/>
  <c r="J46" i="22" s="1"/>
  <c r="J24" i="22"/>
  <c r="E11" i="29" s="1"/>
  <c r="G38" i="22"/>
  <c r="I25" i="22"/>
  <c r="G17" i="27" s="1"/>
  <c r="G14" i="27"/>
  <c r="C16" i="27"/>
  <c r="H25" i="22"/>
  <c r="E17" i="27" s="1"/>
  <c r="H24" i="22"/>
  <c r="C11" i="29" s="1"/>
  <c r="E14" i="27"/>
  <c r="G20" i="20"/>
  <c r="K43" i="19"/>
  <c r="H43" i="19"/>
  <c r="I43" i="19"/>
  <c r="I44" i="19" s="1"/>
  <c r="J43" i="19"/>
  <c r="G30" i="19"/>
  <c r="H33" i="18"/>
  <c r="H38" i="18" s="1"/>
  <c r="I33" i="18"/>
  <c r="I38" i="18" s="1"/>
  <c r="J33" i="18"/>
  <c r="J38" i="18" s="1"/>
  <c r="K33" i="18"/>
  <c r="K38" i="18" s="1"/>
  <c r="H41" i="18"/>
  <c r="H42" i="18" s="1"/>
  <c r="I41" i="18"/>
  <c r="I42" i="18" s="1"/>
  <c r="J41" i="18"/>
  <c r="J42" i="18" s="1"/>
  <c r="K41" i="18"/>
  <c r="K42" i="18" s="1"/>
  <c r="G33" i="18"/>
  <c r="G38" i="18" s="1"/>
  <c r="H28" i="18"/>
  <c r="I28" i="18"/>
  <c r="J28" i="18"/>
  <c r="K28" i="18"/>
  <c r="G28" i="18"/>
  <c r="B37" i="29" s="1"/>
  <c r="H23" i="18"/>
  <c r="I23" i="18"/>
  <c r="J23" i="18"/>
  <c r="K23" i="18"/>
  <c r="G23" i="18"/>
  <c r="H21" i="18"/>
  <c r="I21" i="18"/>
  <c r="J21" i="18"/>
  <c r="K21" i="18"/>
  <c r="G21" i="18"/>
  <c r="B7" i="1"/>
  <c r="G46" i="24"/>
  <c r="K94" i="24"/>
  <c r="J97" i="27" s="1"/>
  <c r="J94" i="24"/>
  <c r="H97" i="27" s="1"/>
  <c r="I94" i="24"/>
  <c r="F97" i="27" s="1"/>
  <c r="H94" i="24"/>
  <c r="D97" i="27" s="1"/>
  <c r="G94" i="24"/>
  <c r="B97" i="27" s="1"/>
  <c r="K93" i="24"/>
  <c r="J96" i="27" s="1"/>
  <c r="J93" i="24"/>
  <c r="H96" i="27" s="1"/>
  <c r="I93" i="24"/>
  <c r="F96" i="27" s="1"/>
  <c r="H93" i="24"/>
  <c r="D96" i="27" s="1"/>
  <c r="G93" i="24"/>
  <c r="B96" i="27" s="1"/>
  <c r="K92" i="24"/>
  <c r="J95" i="27" s="1"/>
  <c r="J92" i="24"/>
  <c r="H95" i="27" s="1"/>
  <c r="I92" i="24"/>
  <c r="F95" i="27" s="1"/>
  <c r="H92" i="24"/>
  <c r="D95" i="27" s="1"/>
  <c r="G92" i="24"/>
  <c r="B95" i="27" s="1"/>
  <c r="K43" i="24"/>
  <c r="K44" i="24" s="1"/>
  <c r="J43" i="24"/>
  <c r="J44" i="24" s="1"/>
  <c r="I43" i="24"/>
  <c r="H43" i="24"/>
  <c r="G43" i="24"/>
  <c r="G44" i="24" s="1"/>
  <c r="K41" i="24"/>
  <c r="J41" i="24"/>
  <c r="I41" i="24"/>
  <c r="H41" i="24"/>
  <c r="G41" i="24"/>
  <c r="G97" i="24"/>
  <c r="B100" i="27" s="1"/>
  <c r="G18" i="24"/>
  <c r="E18" i="24"/>
  <c r="G17" i="24"/>
  <c r="E17" i="24"/>
  <c r="G16" i="24"/>
  <c r="E16" i="24"/>
  <c r="G15" i="24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  <c r="K94" i="23"/>
  <c r="J87" i="27" s="1"/>
  <c r="J94" i="23"/>
  <c r="H87" i="27" s="1"/>
  <c r="I94" i="23"/>
  <c r="F87" i="27" s="1"/>
  <c r="H94" i="23"/>
  <c r="D87" i="27" s="1"/>
  <c r="G94" i="23"/>
  <c r="B87" i="27" s="1"/>
  <c r="K93" i="23"/>
  <c r="J86" i="27" s="1"/>
  <c r="J93" i="23"/>
  <c r="H86" i="27" s="1"/>
  <c r="I93" i="23"/>
  <c r="F86" i="27" s="1"/>
  <c r="H93" i="23"/>
  <c r="D86" i="27" s="1"/>
  <c r="G93" i="23"/>
  <c r="B86" i="27" s="1"/>
  <c r="K92" i="23"/>
  <c r="J85" i="27" s="1"/>
  <c r="J92" i="23"/>
  <c r="H85" i="27" s="1"/>
  <c r="I92" i="23"/>
  <c r="F85" i="27" s="1"/>
  <c r="H92" i="23"/>
  <c r="D85" i="27" s="1"/>
  <c r="G92" i="23"/>
  <c r="B85" i="27" s="1"/>
  <c r="K41" i="23"/>
  <c r="J41" i="23"/>
  <c r="I41" i="23"/>
  <c r="H41" i="23"/>
  <c r="G41" i="23"/>
  <c r="G18" i="23"/>
  <c r="E18" i="23"/>
  <c r="G17" i="23"/>
  <c r="E17" i="23"/>
  <c r="G16" i="23"/>
  <c r="E16" i="23"/>
  <c r="G15" i="23"/>
  <c r="E15" i="23"/>
  <c r="E14" i="23"/>
  <c r="E13" i="23"/>
  <c r="E12" i="23"/>
  <c r="E11" i="23"/>
  <c r="E10" i="23"/>
  <c r="E9" i="23"/>
  <c r="E8" i="23"/>
  <c r="E7" i="23"/>
  <c r="E6" i="23"/>
  <c r="E5" i="23"/>
  <c r="E4" i="23"/>
  <c r="E3" i="23"/>
  <c r="G41" i="22"/>
  <c r="G18" i="22"/>
  <c r="E18" i="22"/>
  <c r="G17" i="22"/>
  <c r="E17" i="22"/>
  <c r="G16" i="22"/>
  <c r="E16" i="22"/>
  <c r="G15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34" i="29" l="1"/>
  <c r="I64" i="27"/>
  <c r="F35" i="29"/>
  <c r="K65" i="27"/>
  <c r="H45" i="18"/>
  <c r="H46" i="18" s="1"/>
  <c r="C37" i="29"/>
  <c r="E68" i="27"/>
  <c r="H44" i="24"/>
  <c r="I43" i="18"/>
  <c r="I44" i="18" s="1"/>
  <c r="D34" i="29"/>
  <c r="G64" i="27"/>
  <c r="E35" i="29"/>
  <c r="E83" i="29" s="1"/>
  <c r="I65" i="27"/>
  <c r="K45" i="18"/>
  <c r="K46" i="18" s="1"/>
  <c r="F37" i="29"/>
  <c r="K68" i="27"/>
  <c r="C8" i="29"/>
  <c r="I44" i="24"/>
  <c r="C64" i="27"/>
  <c r="B34" i="29"/>
  <c r="C34" i="29"/>
  <c r="E64" i="27"/>
  <c r="D35" i="29"/>
  <c r="D83" i="29" s="1"/>
  <c r="G65" i="27"/>
  <c r="J45" i="18"/>
  <c r="J46" i="18" s="1"/>
  <c r="E37" i="29"/>
  <c r="I68" i="27"/>
  <c r="C78" i="27"/>
  <c r="B42" i="29"/>
  <c r="F8" i="29"/>
  <c r="B35" i="29"/>
  <c r="B83" i="29" s="1"/>
  <c r="C65" i="27"/>
  <c r="C35" i="29"/>
  <c r="C83" i="29" s="1"/>
  <c r="E65" i="27"/>
  <c r="I45" i="18"/>
  <c r="I46" i="18" s="1"/>
  <c r="D37" i="29"/>
  <c r="G68" i="27"/>
  <c r="E8" i="29"/>
  <c r="D8" i="29"/>
  <c r="K46" i="22"/>
  <c r="K88" i="27"/>
  <c r="F47" i="29"/>
  <c r="I88" i="27"/>
  <c r="I91" i="27" s="1"/>
  <c r="E47" i="29"/>
  <c r="D43" i="29"/>
  <c r="E88" i="27"/>
  <c r="E91" i="27" s="1"/>
  <c r="C47" i="29"/>
  <c r="C88" i="27"/>
  <c r="C83" i="27" s="1"/>
  <c r="B47" i="29"/>
  <c r="I16" i="27"/>
  <c r="J43" i="22"/>
  <c r="J44" i="22" s="1"/>
  <c r="G16" i="27"/>
  <c r="I43" i="22"/>
  <c r="E16" i="27"/>
  <c r="H43" i="22"/>
  <c r="H44" i="22" s="1"/>
  <c r="K16" i="27"/>
  <c r="K43" i="22"/>
  <c r="G45" i="18"/>
  <c r="C68" i="27"/>
  <c r="K31" i="23"/>
  <c r="H45" i="23"/>
  <c r="J31" i="24"/>
  <c r="I98" i="27"/>
  <c r="H31" i="24"/>
  <c r="E98" i="27"/>
  <c r="I31" i="24"/>
  <c r="G98" i="27"/>
  <c r="K31" i="24"/>
  <c r="K98" i="27"/>
  <c r="G40" i="19"/>
  <c r="I47" i="19"/>
  <c r="I48" i="19" s="1"/>
  <c r="G78" i="27"/>
  <c r="I78" i="27"/>
  <c r="H47" i="19"/>
  <c r="E78" i="27"/>
  <c r="K78" i="27"/>
  <c r="I45" i="23"/>
  <c r="I46" i="23" s="1"/>
  <c r="G88" i="27"/>
  <c r="J45" i="23"/>
  <c r="J46" i="23" s="1"/>
  <c r="K83" i="27"/>
  <c r="K91" i="27"/>
  <c r="G31" i="23"/>
  <c r="K18" i="27"/>
  <c r="I18" i="27"/>
  <c r="G18" i="27"/>
  <c r="E18" i="27"/>
  <c r="C13" i="27"/>
  <c r="C21" i="27"/>
  <c r="L86" i="27"/>
  <c r="L97" i="27"/>
  <c r="L87" i="27"/>
  <c r="L85" i="27"/>
  <c r="L96" i="27"/>
  <c r="G48" i="20"/>
  <c r="G29" i="20" s="1"/>
  <c r="B7" i="29" s="1"/>
  <c r="L95" i="27"/>
  <c r="I47" i="20"/>
  <c r="I19" i="20" s="1"/>
  <c r="K48" i="20"/>
  <c r="K29" i="20" s="1"/>
  <c r="F7" i="29" s="1"/>
  <c r="H48" i="20"/>
  <c r="H29" i="20" s="1"/>
  <c r="C7" i="29" s="1"/>
  <c r="J47" i="20"/>
  <c r="J48" i="20"/>
  <c r="J29" i="20" s="1"/>
  <c r="E7" i="29" s="1"/>
  <c r="G47" i="20"/>
  <c r="I48" i="20"/>
  <c r="I29" i="20" s="1"/>
  <c r="D7" i="29" s="1"/>
  <c r="K47" i="20"/>
  <c r="K19" i="20" s="1"/>
  <c r="F4" i="29" s="1"/>
  <c r="J44" i="19"/>
  <c r="H44" i="19"/>
  <c r="K44" i="19"/>
  <c r="G23" i="19"/>
  <c r="K47" i="19"/>
  <c r="J47" i="19"/>
  <c r="J48" i="19" s="1"/>
  <c r="K43" i="18"/>
  <c r="K44" i="18" s="1"/>
  <c r="H43" i="18"/>
  <c r="J43" i="18"/>
  <c r="J44" i="18" s="1"/>
  <c r="G99" i="23"/>
  <c r="B92" i="27" s="1"/>
  <c r="G97" i="23"/>
  <c r="B90" i="27" s="1"/>
  <c r="G42" i="24"/>
  <c r="G77" i="24" s="1"/>
  <c r="G96" i="24" s="1"/>
  <c r="B99" i="27" s="1"/>
  <c r="J45" i="24"/>
  <c r="H45" i="24"/>
  <c r="H46" i="24" s="1"/>
  <c r="K45" i="24"/>
  <c r="K46" i="24" s="1"/>
  <c r="K31" i="22"/>
  <c r="J31" i="22"/>
  <c r="I31" i="22"/>
  <c r="G150" i="22"/>
  <c r="B20" i="27" s="1"/>
  <c r="H31" i="22"/>
  <c r="H47" i="20"/>
  <c r="I45" i="24"/>
  <c r="I46" i="24" s="1"/>
  <c r="H15" i="24"/>
  <c r="I15" i="24" s="1"/>
  <c r="J15" i="24" s="1"/>
  <c r="K15" i="24" s="1"/>
  <c r="H17" i="24"/>
  <c r="I17" i="24" s="1"/>
  <c r="J17" i="24" s="1"/>
  <c r="K17" i="24" s="1"/>
  <c r="H18" i="23"/>
  <c r="I18" i="23" s="1"/>
  <c r="J18" i="23" s="1"/>
  <c r="K18" i="23" s="1"/>
  <c r="H16" i="24"/>
  <c r="I16" i="24" s="1"/>
  <c r="J16" i="24" s="1"/>
  <c r="K16" i="24" s="1"/>
  <c r="H18" i="24"/>
  <c r="I18" i="24" s="1"/>
  <c r="J18" i="24" s="1"/>
  <c r="K18" i="24" s="1"/>
  <c r="G31" i="24"/>
  <c r="H17" i="23"/>
  <c r="I17" i="23" s="1"/>
  <c r="J17" i="23" s="1"/>
  <c r="K17" i="23" s="1"/>
  <c r="H16" i="23"/>
  <c r="I16" i="23" s="1"/>
  <c r="J16" i="23" s="1"/>
  <c r="K16" i="23" s="1"/>
  <c r="H15" i="23"/>
  <c r="I15" i="23" s="1"/>
  <c r="J15" i="23" s="1"/>
  <c r="K15" i="23" s="1"/>
  <c r="I97" i="23"/>
  <c r="F90" i="27" s="1"/>
  <c r="H31" i="23"/>
  <c r="G42" i="23"/>
  <c r="I31" i="23"/>
  <c r="K45" i="23"/>
  <c r="G45" i="23"/>
  <c r="G46" i="23" s="1"/>
  <c r="J31" i="23"/>
  <c r="G46" i="22"/>
  <c r="H16" i="22"/>
  <c r="I16" i="22" s="1"/>
  <c r="J16" i="22" s="1"/>
  <c r="K16" i="22" s="1"/>
  <c r="H18" i="22"/>
  <c r="I18" i="22" s="1"/>
  <c r="J18" i="22" s="1"/>
  <c r="K18" i="22" s="1"/>
  <c r="H15" i="22"/>
  <c r="I15" i="22" s="1"/>
  <c r="J15" i="22" s="1"/>
  <c r="K15" i="22" s="1"/>
  <c r="H17" i="22"/>
  <c r="I17" i="22" s="1"/>
  <c r="J17" i="22" s="1"/>
  <c r="K17" i="22" s="1"/>
  <c r="I150" i="22"/>
  <c r="F20" i="27" s="1"/>
  <c r="G44" i="22"/>
  <c r="G42" i="22"/>
  <c r="G152" i="22"/>
  <c r="B22" i="27" s="1"/>
  <c r="G139" i="22"/>
  <c r="K113" i="20"/>
  <c r="J7" i="27" s="1"/>
  <c r="J113" i="20"/>
  <c r="H7" i="27" s="1"/>
  <c r="I113" i="20"/>
  <c r="F7" i="27" s="1"/>
  <c r="H113" i="20"/>
  <c r="D7" i="27" s="1"/>
  <c r="G113" i="20"/>
  <c r="B7" i="27" s="1"/>
  <c r="G41" i="20"/>
  <c r="G42" i="20" s="1"/>
  <c r="G18" i="20"/>
  <c r="E18" i="20"/>
  <c r="G17" i="20"/>
  <c r="E17" i="20"/>
  <c r="G16" i="20"/>
  <c r="E16" i="20"/>
  <c r="G15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K121" i="19"/>
  <c r="J77" i="27" s="1"/>
  <c r="J121" i="19"/>
  <c r="H77" i="27" s="1"/>
  <c r="I121" i="19"/>
  <c r="F77" i="27" s="1"/>
  <c r="H121" i="19"/>
  <c r="D77" i="27" s="1"/>
  <c r="G121" i="19"/>
  <c r="B77" i="27" s="1"/>
  <c r="G43" i="19"/>
  <c r="G19" i="19"/>
  <c r="E19" i="19"/>
  <c r="G18" i="19"/>
  <c r="E18" i="19"/>
  <c r="G17" i="19"/>
  <c r="E17" i="19"/>
  <c r="G16" i="19"/>
  <c r="E16" i="19"/>
  <c r="E15" i="19"/>
  <c r="E14" i="19"/>
  <c r="E13" i="19"/>
  <c r="E12" i="19"/>
  <c r="E11" i="19"/>
  <c r="E10" i="19"/>
  <c r="E9" i="19"/>
  <c r="E8" i="19"/>
  <c r="E6" i="19"/>
  <c r="E5" i="19"/>
  <c r="E4" i="19"/>
  <c r="E3" i="19"/>
  <c r="K100" i="18"/>
  <c r="J67" i="27" s="1"/>
  <c r="J100" i="18"/>
  <c r="H67" i="27" s="1"/>
  <c r="I100" i="18"/>
  <c r="H100" i="18"/>
  <c r="G100" i="18"/>
  <c r="B67" i="27" s="1"/>
  <c r="G41" i="18"/>
  <c r="G18" i="18"/>
  <c r="E18" i="18"/>
  <c r="G17" i="18"/>
  <c r="E17" i="18"/>
  <c r="G16" i="18"/>
  <c r="E16" i="18"/>
  <c r="G15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H28" i="17"/>
  <c r="I28" i="17"/>
  <c r="J28" i="17"/>
  <c r="K28" i="17"/>
  <c r="G28" i="17"/>
  <c r="H35" i="17"/>
  <c r="I35" i="17"/>
  <c r="J35" i="17"/>
  <c r="K35" i="17"/>
  <c r="G35" i="17"/>
  <c r="H34" i="17"/>
  <c r="I34" i="17"/>
  <c r="J34" i="17"/>
  <c r="K34" i="17"/>
  <c r="G34" i="17"/>
  <c r="H33" i="17"/>
  <c r="I33" i="17"/>
  <c r="I38" i="17" s="1"/>
  <c r="J33" i="17"/>
  <c r="G33" i="17"/>
  <c r="H25" i="17"/>
  <c r="E137" i="27" s="1"/>
  <c r="I25" i="17"/>
  <c r="G137" i="27" s="1"/>
  <c r="J25" i="17"/>
  <c r="I137" i="27" s="1"/>
  <c r="K25" i="17"/>
  <c r="K137" i="27" s="1"/>
  <c r="G25" i="17"/>
  <c r="C137" i="27" s="1"/>
  <c r="H24" i="17"/>
  <c r="I24" i="17"/>
  <c r="J24" i="17"/>
  <c r="K24" i="17"/>
  <c r="G24" i="17"/>
  <c r="H23" i="17"/>
  <c r="E135" i="27" s="1"/>
  <c r="I23" i="17"/>
  <c r="J23" i="17"/>
  <c r="K23" i="17"/>
  <c r="G23" i="17"/>
  <c r="C135" i="27" s="1"/>
  <c r="K41" i="17"/>
  <c r="J41" i="17"/>
  <c r="I41" i="17"/>
  <c r="H41" i="17"/>
  <c r="G41" i="17"/>
  <c r="G42" i="17" s="1"/>
  <c r="K33" i="17"/>
  <c r="G138" i="17"/>
  <c r="B140" i="27" s="1"/>
  <c r="G18" i="17"/>
  <c r="E18" i="17"/>
  <c r="G17" i="17"/>
  <c r="E17" i="17"/>
  <c r="G16" i="17"/>
  <c r="E16" i="17"/>
  <c r="G15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H35" i="11"/>
  <c r="I35" i="11"/>
  <c r="J35" i="11"/>
  <c r="K35" i="11"/>
  <c r="G35" i="11"/>
  <c r="H34" i="11"/>
  <c r="I34" i="11"/>
  <c r="J34" i="11"/>
  <c r="K34" i="11"/>
  <c r="G34" i="11"/>
  <c r="H33" i="11"/>
  <c r="I33" i="11"/>
  <c r="I38" i="11" s="1"/>
  <c r="J33" i="11"/>
  <c r="K33" i="11"/>
  <c r="G33" i="11"/>
  <c r="H21" i="11"/>
  <c r="I21" i="11"/>
  <c r="J21" i="11"/>
  <c r="K21" i="11"/>
  <c r="H23" i="11"/>
  <c r="E125" i="27" s="1"/>
  <c r="I23" i="11"/>
  <c r="G125" i="27" s="1"/>
  <c r="J23" i="11"/>
  <c r="I125" i="27" s="1"/>
  <c r="K23" i="11"/>
  <c r="K125" i="27" s="1"/>
  <c r="H24" i="11"/>
  <c r="I24" i="11"/>
  <c r="J24" i="11"/>
  <c r="K24" i="11"/>
  <c r="H25" i="11"/>
  <c r="E127" i="27" s="1"/>
  <c r="I25" i="11"/>
  <c r="G127" i="27" s="1"/>
  <c r="J25" i="11"/>
  <c r="I127" i="27" s="1"/>
  <c r="K25" i="11"/>
  <c r="K127" i="27" s="1"/>
  <c r="G25" i="11"/>
  <c r="C127" i="27" s="1"/>
  <c r="G24" i="11"/>
  <c r="G23" i="11"/>
  <c r="C125" i="27" s="1"/>
  <c r="G21" i="11"/>
  <c r="H34" i="10"/>
  <c r="H38" i="10" s="1"/>
  <c r="I34" i="10"/>
  <c r="I38" i="10" s="1"/>
  <c r="J34" i="10"/>
  <c r="J38" i="10" s="1"/>
  <c r="K34" i="10"/>
  <c r="K38" i="10" s="1"/>
  <c r="G34" i="10"/>
  <c r="G38" i="10" s="1"/>
  <c r="H24" i="10"/>
  <c r="I24" i="10"/>
  <c r="J24" i="10"/>
  <c r="K24" i="10"/>
  <c r="G24" i="10"/>
  <c r="H21" i="10"/>
  <c r="I21" i="10"/>
  <c r="J21" i="10"/>
  <c r="K21" i="10"/>
  <c r="G21" i="10"/>
  <c r="H28" i="9"/>
  <c r="I28" i="9"/>
  <c r="J28" i="9"/>
  <c r="K28" i="9"/>
  <c r="G28" i="9"/>
  <c r="H34" i="9"/>
  <c r="H38" i="9" s="1"/>
  <c r="I34" i="9"/>
  <c r="I38" i="9" s="1"/>
  <c r="J34" i="9"/>
  <c r="J38" i="9" s="1"/>
  <c r="K34" i="9"/>
  <c r="K38" i="9" s="1"/>
  <c r="G34" i="9"/>
  <c r="G38" i="9" s="1"/>
  <c r="H24" i="9"/>
  <c r="I24" i="9"/>
  <c r="J24" i="9"/>
  <c r="K24" i="9"/>
  <c r="G24" i="9"/>
  <c r="H21" i="9"/>
  <c r="I21" i="9"/>
  <c r="J21" i="9"/>
  <c r="K21" i="9"/>
  <c r="G21" i="9"/>
  <c r="G41" i="8"/>
  <c r="H35" i="8"/>
  <c r="I35" i="8"/>
  <c r="J35" i="8"/>
  <c r="K35" i="8"/>
  <c r="G35" i="8"/>
  <c r="H33" i="8"/>
  <c r="I33" i="8"/>
  <c r="J33" i="8"/>
  <c r="K33" i="8"/>
  <c r="G33" i="8"/>
  <c r="H28" i="8"/>
  <c r="I28" i="8"/>
  <c r="J28" i="8"/>
  <c r="K28" i="8"/>
  <c r="H25" i="8"/>
  <c r="E57" i="27" s="1"/>
  <c r="I25" i="8"/>
  <c r="G57" i="27" s="1"/>
  <c r="J25" i="8"/>
  <c r="I57" i="27" s="1"/>
  <c r="K25" i="8"/>
  <c r="K57" i="27" s="1"/>
  <c r="G25" i="8"/>
  <c r="C57" i="27" s="1"/>
  <c r="H23" i="8"/>
  <c r="E55" i="27" s="1"/>
  <c r="I23" i="8"/>
  <c r="G55" i="27" s="1"/>
  <c r="J23" i="8"/>
  <c r="I55" i="27" s="1"/>
  <c r="K23" i="8"/>
  <c r="K55" i="27" s="1"/>
  <c r="G23" i="8"/>
  <c r="C55" i="27" s="1"/>
  <c r="H22" i="8"/>
  <c r="C29" i="29" s="1"/>
  <c r="I22" i="8"/>
  <c r="D29" i="29" s="1"/>
  <c r="J22" i="8"/>
  <c r="E29" i="29" s="1"/>
  <c r="K22" i="8"/>
  <c r="F29" i="29" s="1"/>
  <c r="C54" i="27"/>
  <c r="I101" i="16"/>
  <c r="J101" i="16"/>
  <c r="K101" i="16"/>
  <c r="H101" i="16"/>
  <c r="G41" i="16"/>
  <c r="G42" i="16" s="1"/>
  <c r="H34" i="16"/>
  <c r="H38" i="16" s="1"/>
  <c r="I34" i="16"/>
  <c r="I38" i="16" s="1"/>
  <c r="J34" i="16"/>
  <c r="J38" i="16" s="1"/>
  <c r="K34" i="16"/>
  <c r="K38" i="16" s="1"/>
  <c r="G34" i="16"/>
  <c r="G38" i="16" s="1"/>
  <c r="H27" i="16"/>
  <c r="I27" i="16"/>
  <c r="J27" i="16"/>
  <c r="K27" i="16"/>
  <c r="G27" i="16"/>
  <c r="B22" i="29" s="1"/>
  <c r="B18" i="29" s="1"/>
  <c r="K36" i="27"/>
  <c r="C36" i="27"/>
  <c r="G43" i="15"/>
  <c r="H27" i="15"/>
  <c r="I27" i="15"/>
  <c r="D27" i="29" s="1"/>
  <c r="D23" i="29" s="1"/>
  <c r="J27" i="15"/>
  <c r="K27" i="15"/>
  <c r="G27" i="15"/>
  <c r="B27" i="29" s="1"/>
  <c r="B23" i="29" s="1"/>
  <c r="K110" i="16"/>
  <c r="J37" i="27" s="1"/>
  <c r="J110" i="16"/>
  <c r="H37" i="27" s="1"/>
  <c r="I110" i="16"/>
  <c r="F37" i="27" s="1"/>
  <c r="H110" i="16"/>
  <c r="D37" i="27" s="1"/>
  <c r="G110" i="16"/>
  <c r="B37" i="27" s="1"/>
  <c r="K41" i="16"/>
  <c r="J41" i="16"/>
  <c r="I41" i="16"/>
  <c r="H41" i="16"/>
  <c r="G18" i="16"/>
  <c r="E18" i="16"/>
  <c r="G17" i="16"/>
  <c r="E17" i="16"/>
  <c r="G16" i="16"/>
  <c r="E16" i="16"/>
  <c r="G15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K108" i="15"/>
  <c r="J47" i="27" s="1"/>
  <c r="J108" i="15"/>
  <c r="H47" i="27" s="1"/>
  <c r="I108" i="15"/>
  <c r="F47" i="27" s="1"/>
  <c r="H108" i="15"/>
  <c r="D47" i="27" s="1"/>
  <c r="G108" i="15"/>
  <c r="B47" i="27" s="1"/>
  <c r="K41" i="15"/>
  <c r="J41" i="15"/>
  <c r="I41" i="15"/>
  <c r="H41" i="15"/>
  <c r="G41" i="15"/>
  <c r="G42" i="15" s="1"/>
  <c r="K43" i="15"/>
  <c r="G18" i="15"/>
  <c r="E18" i="15"/>
  <c r="G17" i="15"/>
  <c r="E17" i="15"/>
  <c r="G16" i="15"/>
  <c r="E16" i="15"/>
  <c r="G15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G38" i="27" l="1"/>
  <c r="D22" i="29"/>
  <c r="D18" i="29" s="1"/>
  <c r="I58" i="27"/>
  <c r="E32" i="29"/>
  <c r="E54" i="29"/>
  <c r="I104" i="27"/>
  <c r="F56" i="29"/>
  <c r="F84" i="29" s="1"/>
  <c r="K106" i="27"/>
  <c r="D57" i="29"/>
  <c r="G108" i="27"/>
  <c r="E59" i="29"/>
  <c r="I114" i="27"/>
  <c r="I121" i="27" s="1"/>
  <c r="F61" i="29"/>
  <c r="K116" i="27"/>
  <c r="E126" i="27"/>
  <c r="E131" i="27" s="1"/>
  <c r="C66" i="29"/>
  <c r="E124" i="27"/>
  <c r="C64" i="29"/>
  <c r="C63" i="29" s="1"/>
  <c r="H43" i="11"/>
  <c r="H44" i="11" s="1"/>
  <c r="K43" i="17"/>
  <c r="K44" i="17" s="1"/>
  <c r="K135" i="27"/>
  <c r="C136" i="27"/>
  <c r="B71" i="29"/>
  <c r="E136" i="27"/>
  <c r="C71" i="29"/>
  <c r="C138" i="27"/>
  <c r="B72" i="29"/>
  <c r="B68" i="29" s="1"/>
  <c r="E138" i="27"/>
  <c r="C72" i="29"/>
  <c r="G45" i="19"/>
  <c r="H46" i="19" s="1"/>
  <c r="B39" i="29"/>
  <c r="B38" i="29" s="1"/>
  <c r="E48" i="27"/>
  <c r="C27" i="29"/>
  <c r="C23" i="29" s="1"/>
  <c r="G58" i="27"/>
  <c r="D32" i="29"/>
  <c r="D28" i="29" s="1"/>
  <c r="D54" i="29"/>
  <c r="G104" i="27"/>
  <c r="E56" i="29"/>
  <c r="I106" i="27"/>
  <c r="C108" i="27"/>
  <c r="B57" i="29"/>
  <c r="C57" i="29"/>
  <c r="E108" i="27"/>
  <c r="D59" i="29"/>
  <c r="D58" i="29" s="1"/>
  <c r="G114" i="27"/>
  <c r="G121" i="27" s="1"/>
  <c r="E61" i="29"/>
  <c r="I116" i="27"/>
  <c r="C124" i="27"/>
  <c r="B64" i="29"/>
  <c r="G43" i="11"/>
  <c r="G44" i="11" s="1"/>
  <c r="F66" i="29"/>
  <c r="K126" i="27"/>
  <c r="F64" i="29"/>
  <c r="F63" i="29" s="1"/>
  <c r="K43" i="11"/>
  <c r="K124" i="27"/>
  <c r="K38" i="17"/>
  <c r="J43" i="17"/>
  <c r="J44" i="17" s="1"/>
  <c r="I135" i="27"/>
  <c r="F71" i="29"/>
  <c r="K136" i="27"/>
  <c r="K45" i="17"/>
  <c r="F72" i="29"/>
  <c r="F68" i="29" s="1"/>
  <c r="K138" i="27"/>
  <c r="K63" i="27"/>
  <c r="K71" i="27"/>
  <c r="K48" i="27"/>
  <c r="F27" i="29"/>
  <c r="F23" i="29" s="1"/>
  <c r="K38" i="27"/>
  <c r="K41" i="27" s="1"/>
  <c r="F22" i="29"/>
  <c r="F18" i="29" s="1"/>
  <c r="E28" i="29"/>
  <c r="E58" i="27"/>
  <c r="C32" i="29"/>
  <c r="C28" i="29" s="1"/>
  <c r="C104" i="27"/>
  <c r="C111" i="27" s="1"/>
  <c r="B54" i="29"/>
  <c r="C54" i="29"/>
  <c r="E104" i="27"/>
  <c r="D56" i="29"/>
  <c r="D84" i="29" s="1"/>
  <c r="G106" i="27"/>
  <c r="B59" i="29"/>
  <c r="C114" i="27"/>
  <c r="C59" i="29"/>
  <c r="C58" i="29" s="1"/>
  <c r="E114" i="27"/>
  <c r="E121" i="27" s="1"/>
  <c r="D61" i="29"/>
  <c r="G116" i="27"/>
  <c r="E66" i="29"/>
  <c r="I126" i="27"/>
  <c r="E64" i="29"/>
  <c r="J43" i="11"/>
  <c r="I124" i="27"/>
  <c r="K38" i="11"/>
  <c r="H38" i="11"/>
  <c r="I43" i="17"/>
  <c r="I44" i="17" s="1"/>
  <c r="G135" i="27"/>
  <c r="E71" i="29"/>
  <c r="I136" i="27"/>
  <c r="J45" i="17"/>
  <c r="E72" i="29"/>
  <c r="I138" i="27"/>
  <c r="J46" i="24"/>
  <c r="C91" i="27"/>
  <c r="C63" i="27"/>
  <c r="E71" i="27"/>
  <c r="E63" i="27"/>
  <c r="G71" i="27"/>
  <c r="G63" i="27"/>
  <c r="F33" i="29"/>
  <c r="F83" i="29"/>
  <c r="I48" i="27"/>
  <c r="E27" i="29"/>
  <c r="E23" i="29" s="1"/>
  <c r="I38" i="27"/>
  <c r="I33" i="27" s="1"/>
  <c r="E22" i="29"/>
  <c r="E18" i="29" s="1"/>
  <c r="G38" i="8"/>
  <c r="F54" i="29"/>
  <c r="K104" i="27"/>
  <c r="B56" i="29"/>
  <c r="C106" i="27"/>
  <c r="C56" i="29"/>
  <c r="C84" i="29" s="1"/>
  <c r="E106" i="27"/>
  <c r="J45" i="9"/>
  <c r="E57" i="29"/>
  <c r="I108" i="27"/>
  <c r="F59" i="29"/>
  <c r="F58" i="29" s="1"/>
  <c r="K114" i="27"/>
  <c r="B61" i="29"/>
  <c r="C116" i="27"/>
  <c r="C61" i="29"/>
  <c r="E116" i="27"/>
  <c r="C126" i="27"/>
  <c r="B66" i="29"/>
  <c r="D66" i="29"/>
  <c r="G126" i="27"/>
  <c r="D64" i="29"/>
  <c r="D63" i="29" s="1"/>
  <c r="I43" i="11"/>
  <c r="I44" i="11" s="1"/>
  <c r="G124" i="27"/>
  <c r="J38" i="11"/>
  <c r="D71" i="29"/>
  <c r="D68" i="29" s="1"/>
  <c r="G136" i="27"/>
  <c r="J38" i="17"/>
  <c r="D72" i="29"/>
  <c r="G138" i="27"/>
  <c r="K46" i="23"/>
  <c r="K48" i="19"/>
  <c r="C33" i="29"/>
  <c r="D33" i="29"/>
  <c r="I63" i="27"/>
  <c r="I71" i="27"/>
  <c r="H46" i="23"/>
  <c r="K44" i="22"/>
  <c r="I44" i="22"/>
  <c r="B33" i="29"/>
  <c r="E33" i="29"/>
  <c r="E38" i="27"/>
  <c r="E41" i="27" s="1"/>
  <c r="C22" i="29"/>
  <c r="C18" i="29" s="1"/>
  <c r="F3" i="29"/>
  <c r="I31" i="20"/>
  <c r="D4" i="29"/>
  <c r="C71" i="27"/>
  <c r="E83" i="27"/>
  <c r="I83" i="27"/>
  <c r="F43" i="29"/>
  <c r="E43" i="29"/>
  <c r="C43" i="29"/>
  <c r="B43" i="29"/>
  <c r="E13" i="27"/>
  <c r="I38" i="8"/>
  <c r="H38" i="8"/>
  <c r="J38" i="8"/>
  <c r="G45" i="8"/>
  <c r="C58" i="27"/>
  <c r="I51" i="27"/>
  <c r="I43" i="27"/>
  <c r="I45" i="15"/>
  <c r="G48" i="27"/>
  <c r="G45" i="15"/>
  <c r="G46" i="15" s="1"/>
  <c r="C48" i="27"/>
  <c r="E43" i="27"/>
  <c r="E51" i="27"/>
  <c r="K51" i="27"/>
  <c r="K43" i="27"/>
  <c r="G33" i="19"/>
  <c r="C74" i="27"/>
  <c r="K31" i="20"/>
  <c r="J32" i="20"/>
  <c r="J38" i="20" s="1"/>
  <c r="J19" i="20"/>
  <c r="H32" i="20"/>
  <c r="H38" i="20" s="1"/>
  <c r="H19" i="20"/>
  <c r="E4" i="27" s="1"/>
  <c r="G81" i="27"/>
  <c r="E134" i="27"/>
  <c r="E133" i="27" s="1"/>
  <c r="H43" i="17"/>
  <c r="H44" i="17" s="1"/>
  <c r="C134" i="27"/>
  <c r="C133" i="27" s="1"/>
  <c r="G43" i="17"/>
  <c r="G44" i="17" s="1"/>
  <c r="I93" i="27"/>
  <c r="I101" i="27"/>
  <c r="K101" i="27"/>
  <c r="K93" i="27"/>
  <c r="E101" i="27"/>
  <c r="E93" i="27"/>
  <c r="G101" i="27"/>
  <c r="G93" i="27"/>
  <c r="K81" i="27"/>
  <c r="I81" i="27"/>
  <c r="E81" i="27"/>
  <c r="K54" i="27"/>
  <c r="G54" i="27"/>
  <c r="I54" i="27"/>
  <c r="E54" i="27"/>
  <c r="E61" i="27" s="1"/>
  <c r="G83" i="27"/>
  <c r="G91" i="27"/>
  <c r="G77" i="23"/>
  <c r="G96" i="23" s="1"/>
  <c r="B89" i="27" s="1"/>
  <c r="K21" i="27"/>
  <c r="K13" i="27"/>
  <c r="I21" i="27"/>
  <c r="I13" i="27"/>
  <c r="G21" i="27"/>
  <c r="G13" i="27"/>
  <c r="E33" i="27"/>
  <c r="I41" i="27"/>
  <c r="G41" i="27"/>
  <c r="G33" i="27"/>
  <c r="K33" i="27"/>
  <c r="G45" i="16"/>
  <c r="G46" i="16" s="1"/>
  <c r="C38" i="27"/>
  <c r="C33" i="27" s="1"/>
  <c r="L77" i="27"/>
  <c r="F67" i="27"/>
  <c r="D67" i="27"/>
  <c r="I45" i="20"/>
  <c r="I46" i="20" s="1"/>
  <c r="G8" i="27"/>
  <c r="H45" i="20"/>
  <c r="E8" i="27"/>
  <c r="L47" i="27"/>
  <c r="K45" i="20"/>
  <c r="K8" i="27"/>
  <c r="L37" i="27"/>
  <c r="L7" i="27"/>
  <c r="J45" i="20"/>
  <c r="I8" i="27"/>
  <c r="G45" i="20"/>
  <c r="G46" i="20" s="1"/>
  <c r="C8" i="27"/>
  <c r="G38" i="17"/>
  <c r="H38" i="17"/>
  <c r="G38" i="11"/>
  <c r="C123" i="27"/>
  <c r="C131" i="27"/>
  <c r="I32" i="20"/>
  <c r="I38" i="20" s="1"/>
  <c r="G4" i="27"/>
  <c r="G19" i="20"/>
  <c r="B4" i="29" s="1"/>
  <c r="G32" i="20"/>
  <c r="G38" i="20" s="1"/>
  <c r="K4" i="27"/>
  <c r="K32" i="20"/>
  <c r="K38" i="20" s="1"/>
  <c r="G44" i="19"/>
  <c r="G126" i="19"/>
  <c r="B82" i="27" s="1"/>
  <c r="G124" i="19"/>
  <c r="B80" i="27" s="1"/>
  <c r="G105" i="18"/>
  <c r="B72" i="27" s="1"/>
  <c r="G103" i="18"/>
  <c r="B70" i="27" s="1"/>
  <c r="K38" i="8"/>
  <c r="G86" i="23"/>
  <c r="G116" i="20"/>
  <c r="B10" i="27" s="1"/>
  <c r="H16" i="20"/>
  <c r="I16" i="20" s="1"/>
  <c r="J16" i="20" s="1"/>
  <c r="K16" i="20" s="1"/>
  <c r="H18" i="20"/>
  <c r="I18" i="20" s="1"/>
  <c r="J18" i="20" s="1"/>
  <c r="K18" i="20" s="1"/>
  <c r="H18" i="17"/>
  <c r="I18" i="17" s="1"/>
  <c r="J18" i="17" s="1"/>
  <c r="K18" i="17" s="1"/>
  <c r="H15" i="20"/>
  <c r="I15" i="20" s="1"/>
  <c r="J15" i="20" s="1"/>
  <c r="K15" i="20" s="1"/>
  <c r="H17" i="20"/>
  <c r="I17" i="20" s="1"/>
  <c r="J17" i="20" s="1"/>
  <c r="K17" i="20" s="1"/>
  <c r="H17" i="19"/>
  <c r="I17" i="19" s="1"/>
  <c r="J17" i="19" s="1"/>
  <c r="K17" i="19" s="1"/>
  <c r="H18" i="19"/>
  <c r="H19" i="19"/>
  <c r="I19" i="19" s="1"/>
  <c r="J19" i="19" s="1"/>
  <c r="K19" i="19" s="1"/>
  <c r="G47" i="19"/>
  <c r="G48" i="19" s="1"/>
  <c r="H16" i="19"/>
  <c r="I16" i="19" s="1"/>
  <c r="J16" i="19" s="1"/>
  <c r="K16" i="19" s="1"/>
  <c r="G43" i="18"/>
  <c r="G44" i="18" s="1"/>
  <c r="H18" i="18"/>
  <c r="I18" i="18" s="1"/>
  <c r="J18" i="18" s="1"/>
  <c r="K18" i="18" s="1"/>
  <c r="K31" i="18"/>
  <c r="I31" i="18"/>
  <c r="G46" i="18"/>
  <c r="H16" i="18"/>
  <c r="I16" i="18" s="1"/>
  <c r="J16" i="18" s="1"/>
  <c r="K16" i="18" s="1"/>
  <c r="I97" i="24"/>
  <c r="F100" i="27" s="1"/>
  <c r="G81" i="24"/>
  <c r="G99" i="24"/>
  <c r="B102" i="27" s="1"/>
  <c r="G86" i="24"/>
  <c r="J97" i="23"/>
  <c r="H90" i="27" s="1"/>
  <c r="G130" i="22"/>
  <c r="G149" i="22" s="1"/>
  <c r="B19" i="27" s="1"/>
  <c r="K150" i="22"/>
  <c r="J20" i="27" s="1"/>
  <c r="G118" i="20"/>
  <c r="B12" i="27" s="1"/>
  <c r="G105" i="20"/>
  <c r="H17" i="18"/>
  <c r="I17" i="18" s="1"/>
  <c r="J17" i="18" s="1"/>
  <c r="K17" i="18" s="1"/>
  <c r="J31" i="18"/>
  <c r="H15" i="18"/>
  <c r="I15" i="18" s="1"/>
  <c r="J15" i="18" s="1"/>
  <c r="K15" i="18" s="1"/>
  <c r="H31" i="18"/>
  <c r="G42" i="18"/>
  <c r="G45" i="17"/>
  <c r="G46" i="17" s="1"/>
  <c r="K31" i="17"/>
  <c r="H15" i="17"/>
  <c r="I15" i="17" s="1"/>
  <c r="J15" i="17" s="1"/>
  <c r="K15" i="17" s="1"/>
  <c r="H17" i="17"/>
  <c r="I17" i="17" s="1"/>
  <c r="J17" i="17" s="1"/>
  <c r="K17" i="17" s="1"/>
  <c r="H31" i="17"/>
  <c r="I45" i="17"/>
  <c r="H45" i="17"/>
  <c r="H16" i="17"/>
  <c r="I16" i="17" s="1"/>
  <c r="J16" i="17" s="1"/>
  <c r="K16" i="17" s="1"/>
  <c r="I31" i="17"/>
  <c r="J31" i="17"/>
  <c r="H18" i="16"/>
  <c r="I18" i="16" s="1"/>
  <c r="J18" i="16" s="1"/>
  <c r="K18" i="16" s="1"/>
  <c r="I45" i="16"/>
  <c r="H16" i="16"/>
  <c r="I16" i="16" s="1"/>
  <c r="J16" i="16" s="1"/>
  <c r="K16" i="16" s="1"/>
  <c r="G31" i="16"/>
  <c r="J31" i="16"/>
  <c r="H45" i="16"/>
  <c r="J45" i="16"/>
  <c r="K31" i="16"/>
  <c r="H31" i="16"/>
  <c r="K45" i="16"/>
  <c r="K46" i="16" s="1"/>
  <c r="H15" i="16"/>
  <c r="I15" i="16" s="1"/>
  <c r="J15" i="16" s="1"/>
  <c r="K15" i="16" s="1"/>
  <c r="H17" i="16"/>
  <c r="I31" i="16"/>
  <c r="H16" i="15"/>
  <c r="I16" i="15" s="1"/>
  <c r="J16" i="15" s="1"/>
  <c r="K16" i="15" s="1"/>
  <c r="H18" i="15"/>
  <c r="I18" i="15" s="1"/>
  <c r="J18" i="15" s="1"/>
  <c r="K18" i="15" s="1"/>
  <c r="J31" i="15"/>
  <c r="H45" i="15"/>
  <c r="H15" i="15"/>
  <c r="I15" i="15" s="1"/>
  <c r="J15" i="15" s="1"/>
  <c r="K15" i="15" s="1"/>
  <c r="H17" i="15"/>
  <c r="I17" i="15" s="1"/>
  <c r="J17" i="15" s="1"/>
  <c r="K17" i="15" s="1"/>
  <c r="J45" i="15"/>
  <c r="K31" i="15"/>
  <c r="J43" i="15"/>
  <c r="I43" i="15"/>
  <c r="K45" i="15"/>
  <c r="G111" i="15"/>
  <c r="B50" i="27" s="1"/>
  <c r="G106" i="15"/>
  <c r="B45" i="27" s="1"/>
  <c r="H43" i="15"/>
  <c r="H44" i="15" s="1"/>
  <c r="H31" i="15"/>
  <c r="I31" i="15"/>
  <c r="G107" i="15"/>
  <c r="B46" i="27" s="1"/>
  <c r="K41" i="11"/>
  <c r="J41" i="11"/>
  <c r="I41" i="11"/>
  <c r="H41" i="11"/>
  <c r="G41" i="11"/>
  <c r="G18" i="11"/>
  <c r="E18" i="11"/>
  <c r="G17" i="11"/>
  <c r="E17" i="11"/>
  <c r="G16" i="11"/>
  <c r="E16" i="11"/>
  <c r="G15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K87" i="10"/>
  <c r="J117" i="27" s="1"/>
  <c r="J87" i="10"/>
  <c r="H117" i="27" s="1"/>
  <c r="I87" i="10"/>
  <c r="F117" i="27" s="1"/>
  <c r="H87" i="10"/>
  <c r="D117" i="27" s="1"/>
  <c r="G87" i="10"/>
  <c r="B117" i="27" s="1"/>
  <c r="K41" i="10"/>
  <c r="J41" i="10"/>
  <c r="I41" i="10"/>
  <c r="H41" i="10"/>
  <c r="G41" i="10"/>
  <c r="I45" i="10"/>
  <c r="G18" i="10"/>
  <c r="E18" i="10"/>
  <c r="G17" i="10"/>
  <c r="E17" i="10"/>
  <c r="G16" i="10"/>
  <c r="E16" i="10"/>
  <c r="G15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K96" i="9"/>
  <c r="J107" i="27" s="1"/>
  <c r="J96" i="9"/>
  <c r="H107" i="27" s="1"/>
  <c r="I96" i="9"/>
  <c r="F107" i="27" s="1"/>
  <c r="H96" i="9"/>
  <c r="D107" i="27" s="1"/>
  <c r="G96" i="9"/>
  <c r="B107" i="27" s="1"/>
  <c r="K41" i="9"/>
  <c r="J41" i="9"/>
  <c r="I41" i="9"/>
  <c r="H41" i="9"/>
  <c r="G41" i="9"/>
  <c r="G42" i="9" s="1"/>
  <c r="K27" i="9"/>
  <c r="I45" i="9"/>
  <c r="G18" i="9"/>
  <c r="E18" i="9"/>
  <c r="G17" i="9"/>
  <c r="E17" i="9"/>
  <c r="G16" i="9"/>
  <c r="E16" i="9"/>
  <c r="G15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K41" i="8"/>
  <c r="J41" i="8"/>
  <c r="I41" i="8"/>
  <c r="H41" i="8"/>
  <c r="G42" i="8"/>
  <c r="K27" i="8"/>
  <c r="J45" i="8"/>
  <c r="H45" i="8"/>
  <c r="H46" i="8" s="1"/>
  <c r="G18" i="8"/>
  <c r="E18" i="8"/>
  <c r="G17" i="8"/>
  <c r="E17" i="8"/>
  <c r="G16" i="8"/>
  <c r="E16" i="8"/>
  <c r="G15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H41" i="7"/>
  <c r="I41" i="7"/>
  <c r="J41" i="7"/>
  <c r="K41" i="7"/>
  <c r="H53" i="7"/>
  <c r="I53" i="7"/>
  <c r="J53" i="7"/>
  <c r="K53" i="7"/>
  <c r="G53" i="7"/>
  <c r="H50" i="7"/>
  <c r="I50" i="7"/>
  <c r="J50" i="7"/>
  <c r="K50" i="7"/>
  <c r="G50" i="7"/>
  <c r="H47" i="7"/>
  <c r="I47" i="7"/>
  <c r="I32" i="7" s="1"/>
  <c r="J47" i="7"/>
  <c r="K47" i="7"/>
  <c r="G47" i="7"/>
  <c r="K96" i="7"/>
  <c r="J27" i="27" s="1"/>
  <c r="J96" i="7"/>
  <c r="H27" i="27" s="1"/>
  <c r="I96" i="7"/>
  <c r="F27" i="27" s="1"/>
  <c r="H96" i="7"/>
  <c r="D27" i="27" s="1"/>
  <c r="G96" i="7"/>
  <c r="B27" i="27" s="1"/>
  <c r="G41" i="7"/>
  <c r="G42" i="7" s="1"/>
  <c r="G18" i="7"/>
  <c r="E18" i="7"/>
  <c r="G17" i="7"/>
  <c r="E17" i="7"/>
  <c r="G16" i="7"/>
  <c r="E16" i="7"/>
  <c r="G15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G141" i="27" l="1"/>
  <c r="G133" i="27"/>
  <c r="B63" i="29"/>
  <c r="E123" i="27"/>
  <c r="J44" i="11"/>
  <c r="C121" i="27"/>
  <c r="C113" i="27"/>
  <c r="E111" i="27"/>
  <c r="E103" i="27"/>
  <c r="D53" i="29"/>
  <c r="H44" i="18"/>
  <c r="I103" i="27"/>
  <c r="I111" i="27"/>
  <c r="K32" i="7"/>
  <c r="K38" i="7" s="1"/>
  <c r="K58" i="27"/>
  <c r="F32" i="29"/>
  <c r="F28" i="29" s="1"/>
  <c r="H46" i="20"/>
  <c r="C103" i="27"/>
  <c r="H48" i="19"/>
  <c r="K121" i="27"/>
  <c r="B84" i="29"/>
  <c r="E63" i="29"/>
  <c r="B58" i="29"/>
  <c r="C53" i="29"/>
  <c r="K123" i="27"/>
  <c r="K131" i="27"/>
  <c r="C68" i="29"/>
  <c r="K141" i="27"/>
  <c r="K133" i="27"/>
  <c r="I123" i="27"/>
  <c r="I131" i="27"/>
  <c r="G111" i="27"/>
  <c r="G103" i="27"/>
  <c r="G38" i="7"/>
  <c r="G32" i="7"/>
  <c r="H32" i="7"/>
  <c r="H38" i="7" s="1"/>
  <c r="F57" i="29"/>
  <c r="F53" i="29" s="1"/>
  <c r="K108" i="27"/>
  <c r="J32" i="7"/>
  <c r="J38" i="7" s="1"/>
  <c r="J46" i="16"/>
  <c r="G46" i="19"/>
  <c r="J46" i="20"/>
  <c r="K46" i="20"/>
  <c r="G123" i="27"/>
  <c r="G131" i="27"/>
  <c r="K103" i="27"/>
  <c r="K111" i="27"/>
  <c r="E68" i="29"/>
  <c r="B53" i="29"/>
  <c r="I141" i="27"/>
  <c r="I133" i="27"/>
  <c r="K44" i="11"/>
  <c r="E58" i="29"/>
  <c r="E53" i="29"/>
  <c r="E84" i="29"/>
  <c r="I46" i="16"/>
  <c r="H46" i="16"/>
  <c r="D3" i="29"/>
  <c r="B3" i="29"/>
  <c r="J31" i="20"/>
  <c r="E4" i="29"/>
  <c r="H31" i="20"/>
  <c r="C4" i="29"/>
  <c r="L67" i="27"/>
  <c r="C61" i="27"/>
  <c r="C53" i="27"/>
  <c r="G51" i="27"/>
  <c r="G43" i="27"/>
  <c r="C43" i="27"/>
  <c r="C51" i="27"/>
  <c r="E141" i="27"/>
  <c r="I38" i="7"/>
  <c r="G93" i="16"/>
  <c r="G112" i="16" s="1"/>
  <c r="B39" i="27" s="1"/>
  <c r="C141" i="27"/>
  <c r="H104" i="19"/>
  <c r="C73" i="27"/>
  <c r="C81" i="27"/>
  <c r="E53" i="27"/>
  <c r="I53" i="27"/>
  <c r="I61" i="27"/>
  <c r="G53" i="27"/>
  <c r="G61" i="27"/>
  <c r="K53" i="27"/>
  <c r="K61" i="27"/>
  <c r="G104" i="19"/>
  <c r="C41" i="27"/>
  <c r="G43" i="20"/>
  <c r="G44" i="20" s="1"/>
  <c r="C4" i="27"/>
  <c r="L107" i="27"/>
  <c r="E3" i="27"/>
  <c r="E11" i="27"/>
  <c r="L27" i="27"/>
  <c r="J43" i="20"/>
  <c r="J44" i="20" s="1"/>
  <c r="I4" i="27"/>
  <c r="L117" i="27"/>
  <c r="K3" i="27"/>
  <c r="K11" i="27"/>
  <c r="G3" i="27"/>
  <c r="G11" i="27"/>
  <c r="I18" i="19"/>
  <c r="K43" i="20"/>
  <c r="I43" i="20"/>
  <c r="G31" i="20"/>
  <c r="G113" i="19"/>
  <c r="I126" i="19"/>
  <c r="F82" i="27" s="1"/>
  <c r="I124" i="19"/>
  <c r="F80" i="27" s="1"/>
  <c r="G92" i="18"/>
  <c r="H97" i="23"/>
  <c r="D90" i="27" s="1"/>
  <c r="H43" i="20"/>
  <c r="H44" i="20" s="1"/>
  <c r="H99" i="24"/>
  <c r="D102" i="27" s="1"/>
  <c r="H97" i="24"/>
  <c r="D100" i="27" s="1"/>
  <c r="G21" i="7"/>
  <c r="G27" i="7"/>
  <c r="B17" i="29" s="1"/>
  <c r="H150" i="22"/>
  <c r="D20" i="27" s="1"/>
  <c r="G31" i="18"/>
  <c r="H16" i="9"/>
  <c r="I16" i="9" s="1"/>
  <c r="J16" i="9" s="1"/>
  <c r="K16" i="9" s="1"/>
  <c r="H18" i="9"/>
  <c r="I18" i="9" s="1"/>
  <c r="J18" i="9" s="1"/>
  <c r="K18" i="9" s="1"/>
  <c r="G120" i="19"/>
  <c r="B76" i="27" s="1"/>
  <c r="J124" i="19"/>
  <c r="H80" i="27" s="1"/>
  <c r="G119" i="19"/>
  <c r="B75" i="27" s="1"/>
  <c r="G83" i="18"/>
  <c r="G102" i="18" s="1"/>
  <c r="B69" i="27" s="1"/>
  <c r="G134" i="22"/>
  <c r="J97" i="24"/>
  <c r="H100" i="27" s="1"/>
  <c r="K97" i="24"/>
  <c r="J100" i="27" s="1"/>
  <c r="G81" i="23"/>
  <c r="I86" i="23"/>
  <c r="I99" i="23"/>
  <c r="F92" i="27" s="1"/>
  <c r="H99" i="23"/>
  <c r="D92" i="27" s="1"/>
  <c r="H86" i="23"/>
  <c r="H139" i="22"/>
  <c r="H152" i="22"/>
  <c r="D22" i="27" s="1"/>
  <c r="I139" i="22"/>
  <c r="I152" i="22"/>
  <c r="F22" i="27" s="1"/>
  <c r="I120" i="19"/>
  <c r="F76" i="27" s="1"/>
  <c r="H120" i="19"/>
  <c r="D76" i="27" s="1"/>
  <c r="I113" i="19"/>
  <c r="H103" i="18"/>
  <c r="G31" i="17"/>
  <c r="G118" i="17"/>
  <c r="H138" i="17"/>
  <c r="D140" i="27" s="1"/>
  <c r="G127" i="17"/>
  <c r="G140" i="17"/>
  <c r="B142" i="27" s="1"/>
  <c r="I45" i="11"/>
  <c r="H16" i="11"/>
  <c r="I16" i="11" s="1"/>
  <c r="J16" i="11" s="1"/>
  <c r="K16" i="11" s="1"/>
  <c r="G45" i="11"/>
  <c r="G46" i="11" s="1"/>
  <c r="K45" i="11"/>
  <c r="K31" i="10"/>
  <c r="J43" i="10"/>
  <c r="H17" i="10"/>
  <c r="I17" i="10" s="1"/>
  <c r="J17" i="10" s="1"/>
  <c r="K17" i="10" s="1"/>
  <c r="H16" i="10"/>
  <c r="I16" i="10" s="1"/>
  <c r="J16" i="10" s="1"/>
  <c r="K16" i="10" s="1"/>
  <c r="H15" i="10"/>
  <c r="I15" i="10" s="1"/>
  <c r="J15" i="10" s="1"/>
  <c r="K15" i="10" s="1"/>
  <c r="H18" i="10"/>
  <c r="I18" i="10" s="1"/>
  <c r="J18" i="10" s="1"/>
  <c r="K18" i="10" s="1"/>
  <c r="G31" i="10"/>
  <c r="J45" i="10"/>
  <c r="H31" i="10"/>
  <c r="K43" i="10"/>
  <c r="J31" i="10"/>
  <c r="H45" i="10"/>
  <c r="G45" i="10"/>
  <c r="G46" i="10" s="1"/>
  <c r="K45" i="10"/>
  <c r="I43" i="9"/>
  <c r="G31" i="9"/>
  <c r="K43" i="9"/>
  <c r="J31" i="9"/>
  <c r="H45" i="9"/>
  <c r="G31" i="8"/>
  <c r="H16" i="8"/>
  <c r="I16" i="8" s="1"/>
  <c r="J16" i="8" s="1"/>
  <c r="K16" i="8" s="1"/>
  <c r="H18" i="8"/>
  <c r="I18" i="8" s="1"/>
  <c r="J18" i="8" s="1"/>
  <c r="K18" i="8" s="1"/>
  <c r="I43" i="8"/>
  <c r="I44" i="8" s="1"/>
  <c r="K31" i="8"/>
  <c r="K43" i="8"/>
  <c r="J31" i="8"/>
  <c r="I45" i="8"/>
  <c r="I46" i="8" s="1"/>
  <c r="I17" i="16"/>
  <c r="G108" i="16"/>
  <c r="B35" i="27" s="1"/>
  <c r="H108" i="16"/>
  <c r="D35" i="27" s="1"/>
  <c r="H107" i="15"/>
  <c r="D46" i="27" s="1"/>
  <c r="G31" i="15"/>
  <c r="G44" i="15"/>
  <c r="G91" i="15" s="1"/>
  <c r="G110" i="15" s="1"/>
  <c r="B49" i="27" s="1"/>
  <c r="H111" i="15"/>
  <c r="D50" i="27" s="1"/>
  <c r="J45" i="11"/>
  <c r="J46" i="11" s="1"/>
  <c r="H18" i="11"/>
  <c r="I18" i="11" s="1"/>
  <c r="J18" i="11" s="1"/>
  <c r="K18" i="11" s="1"/>
  <c r="J31" i="11"/>
  <c r="H15" i="11"/>
  <c r="I15" i="11" s="1"/>
  <c r="J15" i="11" s="1"/>
  <c r="K15" i="11" s="1"/>
  <c r="H45" i="11"/>
  <c r="H46" i="11" s="1"/>
  <c r="K31" i="11"/>
  <c r="H17" i="11"/>
  <c r="I17" i="11" s="1"/>
  <c r="J17" i="11" s="1"/>
  <c r="K17" i="11" s="1"/>
  <c r="G121" i="11"/>
  <c r="B130" i="27" s="1"/>
  <c r="G42" i="11"/>
  <c r="H31" i="11"/>
  <c r="I31" i="11"/>
  <c r="I43" i="10"/>
  <c r="I31" i="10"/>
  <c r="H43" i="10"/>
  <c r="G42" i="10"/>
  <c r="G43" i="10"/>
  <c r="G44" i="10" s="1"/>
  <c r="H43" i="9"/>
  <c r="H44" i="9" s="1"/>
  <c r="H31" i="9"/>
  <c r="J43" i="9"/>
  <c r="G43" i="9"/>
  <c r="G44" i="9" s="1"/>
  <c r="K31" i="9"/>
  <c r="H15" i="9"/>
  <c r="I15" i="9" s="1"/>
  <c r="J15" i="9" s="1"/>
  <c r="K15" i="9" s="1"/>
  <c r="G45" i="9"/>
  <c r="G46" i="9" s="1"/>
  <c r="K45" i="9"/>
  <c r="H17" i="9"/>
  <c r="G99" i="9"/>
  <c r="B110" i="27" s="1"/>
  <c r="I31" i="9"/>
  <c r="H43" i="8"/>
  <c r="H31" i="8"/>
  <c r="J43" i="8"/>
  <c r="G136" i="8"/>
  <c r="B60" i="27" s="1"/>
  <c r="G46" i="8"/>
  <c r="K45" i="8"/>
  <c r="K46" i="8" s="1"/>
  <c r="H15" i="8"/>
  <c r="I15" i="8" s="1"/>
  <c r="J15" i="8" s="1"/>
  <c r="K15" i="8" s="1"/>
  <c r="H17" i="8"/>
  <c r="I31" i="8"/>
  <c r="J27" i="7"/>
  <c r="J21" i="7"/>
  <c r="H27" i="7"/>
  <c r="G43" i="7"/>
  <c r="G44" i="7" s="1"/>
  <c r="I21" i="7"/>
  <c r="K27" i="7"/>
  <c r="F17" i="29" s="1"/>
  <c r="K21" i="7"/>
  <c r="H21" i="7"/>
  <c r="I27" i="7"/>
  <c r="H15" i="7"/>
  <c r="I15" i="7" s="1"/>
  <c r="J15" i="7" s="1"/>
  <c r="K15" i="7" s="1"/>
  <c r="H16" i="7"/>
  <c r="I16" i="7" s="1"/>
  <c r="J16" i="7" s="1"/>
  <c r="K16" i="7" s="1"/>
  <c r="G95" i="7"/>
  <c r="B26" i="27" s="1"/>
  <c r="H17" i="7"/>
  <c r="I17" i="7" s="1"/>
  <c r="J17" i="7" s="1"/>
  <c r="K17" i="7" s="1"/>
  <c r="G99" i="7"/>
  <c r="B30" i="27" s="1"/>
  <c r="H18" i="7"/>
  <c r="I18" i="7" s="1"/>
  <c r="J18" i="7" s="1"/>
  <c r="K18" i="7" s="1"/>
  <c r="D14" i="29" l="1"/>
  <c r="D82" i="29" s="1"/>
  <c r="G24" i="27"/>
  <c r="K44" i="20"/>
  <c r="J46" i="8"/>
  <c r="E24" i="27"/>
  <c r="C14" i="29"/>
  <c r="H44" i="8"/>
  <c r="B14" i="29"/>
  <c r="B82" i="29" s="1"/>
  <c r="C24" i="27"/>
  <c r="F14" i="29"/>
  <c r="F82" i="29" s="1"/>
  <c r="K24" i="27"/>
  <c r="K44" i="8"/>
  <c r="I46" i="11"/>
  <c r="I24" i="27"/>
  <c r="E14" i="29"/>
  <c r="J44" i="8"/>
  <c r="H44" i="10"/>
  <c r="K46" i="11"/>
  <c r="I44" i="20"/>
  <c r="C3" i="29"/>
  <c r="C82" i="29"/>
  <c r="E3" i="29"/>
  <c r="E82" i="29"/>
  <c r="F13" i="29"/>
  <c r="F85" i="29"/>
  <c r="I28" i="27"/>
  <c r="I23" i="27" s="1"/>
  <c r="E17" i="29"/>
  <c r="G28" i="27"/>
  <c r="D17" i="29"/>
  <c r="E28" i="27"/>
  <c r="E31" i="27" s="1"/>
  <c r="C17" i="29"/>
  <c r="B13" i="29"/>
  <c r="B85" i="29"/>
  <c r="K43" i="7"/>
  <c r="I43" i="7"/>
  <c r="G31" i="27"/>
  <c r="K28" i="27"/>
  <c r="K31" i="7"/>
  <c r="G45" i="7"/>
  <c r="C28" i="27"/>
  <c r="C151" i="27"/>
  <c r="G96" i="20"/>
  <c r="G100" i="20" s="1"/>
  <c r="C3" i="27"/>
  <c r="C11" i="27"/>
  <c r="I11" i="27"/>
  <c r="I3" i="27"/>
  <c r="L100" i="27"/>
  <c r="J18" i="19"/>
  <c r="I104" i="19"/>
  <c r="H124" i="19"/>
  <c r="D80" i="27" s="1"/>
  <c r="K86" i="23"/>
  <c r="K97" i="23"/>
  <c r="J90" i="27" s="1"/>
  <c r="L90" i="27" s="1"/>
  <c r="H118" i="20"/>
  <c r="D12" i="27" s="1"/>
  <c r="H116" i="20"/>
  <c r="D10" i="27" s="1"/>
  <c r="H86" i="24"/>
  <c r="J152" i="22"/>
  <c r="H22" i="27" s="1"/>
  <c r="J150" i="22"/>
  <c r="H20" i="27" s="1"/>
  <c r="L20" i="27" s="1"/>
  <c r="G123" i="19"/>
  <c r="B79" i="27" s="1"/>
  <c r="G108" i="19"/>
  <c r="G87" i="18"/>
  <c r="H99" i="18"/>
  <c r="I86" i="24"/>
  <c r="I99" i="24"/>
  <c r="F102" i="27" s="1"/>
  <c r="K99" i="23"/>
  <c r="J92" i="27" s="1"/>
  <c r="J86" i="23"/>
  <c r="J99" i="23"/>
  <c r="H92" i="27" s="1"/>
  <c r="K152" i="22"/>
  <c r="J22" i="27" s="1"/>
  <c r="K139" i="22"/>
  <c r="J139" i="22"/>
  <c r="G115" i="20"/>
  <c r="B9" i="27" s="1"/>
  <c r="J120" i="19"/>
  <c r="H76" i="27" s="1"/>
  <c r="H119" i="19"/>
  <c r="D75" i="27" s="1"/>
  <c r="I103" i="18"/>
  <c r="G122" i="17"/>
  <c r="G137" i="17"/>
  <c r="B139" i="27" s="1"/>
  <c r="I138" i="17"/>
  <c r="F140" i="27" s="1"/>
  <c r="G85" i="10"/>
  <c r="B115" i="27" s="1"/>
  <c r="G88" i="10"/>
  <c r="B118" i="27" s="1"/>
  <c r="G70" i="10"/>
  <c r="G74" i="10" s="1"/>
  <c r="H88" i="10"/>
  <c r="D118" i="27" s="1"/>
  <c r="G43" i="8"/>
  <c r="G44" i="8" s="1"/>
  <c r="G94" i="9"/>
  <c r="B105" i="27" s="1"/>
  <c r="H132" i="8"/>
  <c r="D56" i="27" s="1"/>
  <c r="G97" i="16"/>
  <c r="J17" i="16"/>
  <c r="G102" i="16"/>
  <c r="G115" i="16"/>
  <c r="B42" i="27" s="1"/>
  <c r="G95" i="15"/>
  <c r="I111" i="15"/>
  <c r="F50" i="27" s="1"/>
  <c r="G100" i="15"/>
  <c r="G113" i="15"/>
  <c r="B52" i="27" s="1"/>
  <c r="I107" i="15"/>
  <c r="F46" i="27" s="1"/>
  <c r="H106" i="15"/>
  <c r="D45" i="27" s="1"/>
  <c r="G119" i="11"/>
  <c r="B128" i="27" s="1"/>
  <c r="G101" i="11"/>
  <c r="G120" i="11" s="1"/>
  <c r="B129" i="27" s="1"/>
  <c r="H121" i="11"/>
  <c r="D130" i="27" s="1"/>
  <c r="G31" i="11"/>
  <c r="G92" i="10"/>
  <c r="B122" i="27" s="1"/>
  <c r="G79" i="10"/>
  <c r="I17" i="9"/>
  <c r="G79" i="9"/>
  <c r="G83" i="9" s="1"/>
  <c r="H99" i="9"/>
  <c r="D110" i="27" s="1"/>
  <c r="I17" i="8"/>
  <c r="G132" i="8"/>
  <c r="B56" i="27" s="1"/>
  <c r="H136" i="8"/>
  <c r="D60" i="27" s="1"/>
  <c r="I31" i="7"/>
  <c r="H43" i="7"/>
  <c r="H44" i="7" s="1"/>
  <c r="H31" i="7"/>
  <c r="I45" i="7"/>
  <c r="J43" i="7"/>
  <c r="G31" i="7"/>
  <c r="H99" i="7"/>
  <c r="D30" i="27" s="1"/>
  <c r="G94" i="7"/>
  <c r="B25" i="27" s="1"/>
  <c r="H95" i="7"/>
  <c r="D26" i="27" s="1"/>
  <c r="I44" i="7" l="1"/>
  <c r="J44" i="7"/>
  <c r="K44" i="7"/>
  <c r="I46" i="7"/>
  <c r="E23" i="27"/>
  <c r="I31" i="27"/>
  <c r="F81" i="29"/>
  <c r="F78" i="29"/>
  <c r="E13" i="29"/>
  <c r="E85" i="29"/>
  <c r="D13" i="29"/>
  <c r="D85" i="29"/>
  <c r="C13" i="29"/>
  <c r="C85" i="29"/>
  <c r="B81" i="29"/>
  <c r="B78" i="29"/>
  <c r="G23" i="27"/>
  <c r="K23" i="27"/>
  <c r="K31" i="27"/>
  <c r="C23" i="27"/>
  <c r="C153" i="27" s="1"/>
  <c r="C31" i="27"/>
  <c r="L22" i="27"/>
  <c r="L92" i="27"/>
  <c r="F70" i="27"/>
  <c r="D70" i="27"/>
  <c r="J104" i="19"/>
  <c r="K18" i="19"/>
  <c r="K104" i="19" s="1"/>
  <c r="K124" i="19"/>
  <c r="J80" i="27" s="1"/>
  <c r="L80" i="27" s="1"/>
  <c r="H126" i="19"/>
  <c r="D82" i="27" s="1"/>
  <c r="H113" i="19"/>
  <c r="G116" i="8"/>
  <c r="G135" i="8" s="1"/>
  <c r="B59" i="27" s="1"/>
  <c r="I105" i="20"/>
  <c r="I116" i="20"/>
  <c r="F10" i="27" s="1"/>
  <c r="H105" i="20"/>
  <c r="G98" i="9"/>
  <c r="B109" i="27" s="1"/>
  <c r="I99" i="18"/>
  <c r="K99" i="24"/>
  <c r="J102" i="27" s="1"/>
  <c r="K86" i="24"/>
  <c r="J86" i="24"/>
  <c r="J99" i="24"/>
  <c r="H102" i="27" s="1"/>
  <c r="J113" i="19"/>
  <c r="J126" i="19"/>
  <c r="H82" i="27" s="1"/>
  <c r="K120" i="19"/>
  <c r="J76" i="27" s="1"/>
  <c r="L76" i="27" s="1"/>
  <c r="K126" i="19"/>
  <c r="J82" i="27" s="1"/>
  <c r="K113" i="19"/>
  <c r="H105" i="18"/>
  <c r="H92" i="18"/>
  <c r="J103" i="18"/>
  <c r="H70" i="27" s="1"/>
  <c r="K103" i="18"/>
  <c r="J70" i="27" s="1"/>
  <c r="J138" i="17"/>
  <c r="H140" i="27" s="1"/>
  <c r="K138" i="17"/>
  <c r="J140" i="27" s="1"/>
  <c r="H140" i="17"/>
  <c r="D142" i="27" s="1"/>
  <c r="H127" i="17"/>
  <c r="H119" i="11"/>
  <c r="D128" i="27" s="1"/>
  <c r="G105" i="11"/>
  <c r="I119" i="11"/>
  <c r="F128" i="27" s="1"/>
  <c r="G89" i="10"/>
  <c r="B119" i="27" s="1"/>
  <c r="K17" i="16"/>
  <c r="H115" i="16"/>
  <c r="D42" i="27" s="1"/>
  <c r="H102" i="16"/>
  <c r="I108" i="16"/>
  <c r="F35" i="27" s="1"/>
  <c r="I106" i="15"/>
  <c r="F45" i="27" s="1"/>
  <c r="J111" i="15"/>
  <c r="H50" i="27" s="1"/>
  <c r="K111" i="15"/>
  <c r="J50" i="27" s="1"/>
  <c r="J107" i="15"/>
  <c r="H46" i="27" s="1"/>
  <c r="H113" i="15"/>
  <c r="D52" i="27" s="1"/>
  <c r="H100" i="15"/>
  <c r="G110" i="11"/>
  <c r="G123" i="11"/>
  <c r="B132" i="27" s="1"/>
  <c r="I121" i="11"/>
  <c r="F130" i="27" s="1"/>
  <c r="J92" i="10"/>
  <c r="H122" i="27" s="1"/>
  <c r="J79" i="10"/>
  <c r="H85" i="10"/>
  <c r="D115" i="27" s="1"/>
  <c r="I92" i="10"/>
  <c r="F122" i="27" s="1"/>
  <c r="I79" i="10"/>
  <c r="K92" i="10"/>
  <c r="J122" i="27" s="1"/>
  <c r="K79" i="10"/>
  <c r="H92" i="10"/>
  <c r="D122" i="27" s="1"/>
  <c r="H79" i="10"/>
  <c r="I99" i="9"/>
  <c r="F110" i="27" s="1"/>
  <c r="J17" i="9"/>
  <c r="H94" i="9"/>
  <c r="D105" i="27" s="1"/>
  <c r="G88" i="9"/>
  <c r="G101" i="9"/>
  <c r="B112" i="27" s="1"/>
  <c r="I136" i="8"/>
  <c r="F60" i="27" s="1"/>
  <c r="G125" i="8"/>
  <c r="G138" i="8"/>
  <c r="B62" i="27" s="1"/>
  <c r="J17" i="8"/>
  <c r="H45" i="7"/>
  <c r="H46" i="7" s="1"/>
  <c r="J45" i="7"/>
  <c r="J46" i="7" s="1"/>
  <c r="K45" i="7"/>
  <c r="K46" i="7" s="1"/>
  <c r="J31" i="7"/>
  <c r="G88" i="7"/>
  <c r="G101" i="7"/>
  <c r="B32" i="27" s="1"/>
  <c r="I95" i="7"/>
  <c r="F26" i="27" s="1"/>
  <c r="G46" i="7"/>
  <c r="G79" i="7" s="1"/>
  <c r="H88" i="7"/>
  <c r="H94" i="7"/>
  <c r="D25" i="27" s="1"/>
  <c r="I99" i="7"/>
  <c r="F30" i="27" s="1"/>
  <c r="C28" i="1"/>
  <c r="G11" i="28" s="1"/>
  <c r="H11" i="28" s="1"/>
  <c r="I11" i="28" s="1"/>
  <c r="J11" i="28" s="1"/>
  <c r="K11" i="28" s="1"/>
  <c r="C17" i="1"/>
  <c r="G4" i="28" s="1"/>
  <c r="H4" i="28" s="1"/>
  <c r="I4" i="28" s="1"/>
  <c r="J4" i="28" s="1"/>
  <c r="K4" i="28" s="1"/>
  <c r="C16" i="1"/>
  <c r="G3" i="28" s="1"/>
  <c r="H3" i="28" s="1"/>
  <c r="I3" i="28" s="1"/>
  <c r="J3" i="28" s="1"/>
  <c r="K3" i="28" s="1"/>
  <c r="C19" i="1"/>
  <c r="G6" i="28" s="1"/>
  <c r="H6" i="28" s="1"/>
  <c r="I6" i="28" s="1"/>
  <c r="J6" i="28" s="1"/>
  <c r="K6" i="28" s="1"/>
  <c r="C23" i="1"/>
  <c r="G9" i="28" s="1"/>
  <c r="H9" i="28" s="1"/>
  <c r="I9" i="28" s="1"/>
  <c r="J9" i="28" s="1"/>
  <c r="K9" i="28" s="1"/>
  <c r="C27" i="1"/>
  <c r="G13" i="28" s="1"/>
  <c r="H13" i="28" s="1"/>
  <c r="I13" i="28" s="1"/>
  <c r="J13" i="28" s="1"/>
  <c r="K13" i="28" s="1"/>
  <c r="C26" i="1"/>
  <c r="G14" i="28" s="1"/>
  <c r="H14" i="28" s="1"/>
  <c r="I14" i="28" s="1"/>
  <c r="J14" i="28" s="1"/>
  <c r="K14" i="28" s="1"/>
  <c r="C25" i="1"/>
  <c r="G12" i="28" s="1"/>
  <c r="H12" i="28" s="1"/>
  <c r="I12" i="28" s="1"/>
  <c r="J12" i="28" s="1"/>
  <c r="K12" i="28" s="1"/>
  <c r="C24" i="1"/>
  <c r="G10" i="28" s="1"/>
  <c r="H10" i="28" s="1"/>
  <c r="I10" i="28" s="1"/>
  <c r="J10" i="28" s="1"/>
  <c r="K10" i="28" s="1"/>
  <c r="C22" i="1"/>
  <c r="G8" i="28" s="1"/>
  <c r="C21" i="1"/>
  <c r="G7" i="28" s="1"/>
  <c r="H7" i="28" s="1"/>
  <c r="I7" i="28" s="1"/>
  <c r="J7" i="28" s="1"/>
  <c r="K7" i="28" s="1"/>
  <c r="C18" i="1"/>
  <c r="G5" i="28" s="1"/>
  <c r="H5" i="28" s="1"/>
  <c r="I5" i="28" s="1"/>
  <c r="J5" i="28" s="1"/>
  <c r="K5" i="28" s="1"/>
  <c r="G64" i="28" l="1"/>
  <c r="G72" i="28" s="1"/>
  <c r="G70" i="28"/>
  <c r="G78" i="28" s="1"/>
  <c r="G66" i="28"/>
  <c r="G74" i="28" s="1"/>
  <c r="G65" i="28"/>
  <c r="G73" i="28" s="1"/>
  <c r="G63" i="28"/>
  <c r="G71" i="28" s="1"/>
  <c r="G67" i="28"/>
  <c r="G75" i="28" s="1"/>
  <c r="G69" i="28"/>
  <c r="G77" i="28" s="1"/>
  <c r="H8" i="28"/>
  <c r="G68" i="28"/>
  <c r="G76" i="28" s="1"/>
  <c r="E81" i="29"/>
  <c r="E78" i="29"/>
  <c r="D81" i="29"/>
  <c r="D78" i="29"/>
  <c r="C78" i="29"/>
  <c r="C81" i="29"/>
  <c r="L50" i="27"/>
  <c r="L122" i="27"/>
  <c r="L102" i="27"/>
  <c r="L140" i="27"/>
  <c r="L82" i="27"/>
  <c r="F66" i="27"/>
  <c r="D66" i="27"/>
  <c r="L70" i="27"/>
  <c r="G120" i="8"/>
  <c r="I118" i="20"/>
  <c r="F12" i="27" s="1"/>
  <c r="K105" i="20"/>
  <c r="K116" i="20"/>
  <c r="J10" i="27" s="1"/>
  <c r="J118" i="20"/>
  <c r="H12" i="27" s="1"/>
  <c r="J116" i="20"/>
  <c r="H10" i="27" s="1"/>
  <c r="K118" i="20"/>
  <c r="J12" i="27" s="1"/>
  <c r="G7" i="7"/>
  <c r="H7" i="7" s="1"/>
  <c r="G7" i="24"/>
  <c r="H7" i="24" s="1"/>
  <c r="I7" i="24" s="1"/>
  <c r="J7" i="24" s="1"/>
  <c r="K7" i="24" s="1"/>
  <c r="G7" i="23"/>
  <c r="H7" i="23" s="1"/>
  <c r="I7" i="23" s="1"/>
  <c r="J7" i="23" s="1"/>
  <c r="K7" i="23" s="1"/>
  <c r="G7" i="22"/>
  <c r="G7" i="18"/>
  <c r="G7" i="17"/>
  <c r="G7" i="20"/>
  <c r="G8" i="19"/>
  <c r="G7" i="15"/>
  <c r="H7" i="15" s="1"/>
  <c r="I7" i="15" s="1"/>
  <c r="J7" i="15" s="1"/>
  <c r="K7" i="15" s="1"/>
  <c r="G7" i="16"/>
  <c r="H7" i="16" s="1"/>
  <c r="I7" i="16" s="1"/>
  <c r="J7" i="16" s="1"/>
  <c r="K7" i="16" s="1"/>
  <c r="G7" i="8"/>
  <c r="G7" i="10"/>
  <c r="H7" i="10" s="1"/>
  <c r="I7" i="10" s="1"/>
  <c r="J7" i="10" s="1"/>
  <c r="K7" i="10" s="1"/>
  <c r="G7" i="9"/>
  <c r="H7" i="9" s="1"/>
  <c r="I7" i="9" s="1"/>
  <c r="J7" i="9" s="1"/>
  <c r="K7" i="9" s="1"/>
  <c r="G7" i="11"/>
  <c r="G14" i="24"/>
  <c r="H14" i="24" s="1"/>
  <c r="I14" i="24" s="1"/>
  <c r="J14" i="24" s="1"/>
  <c r="K14" i="24" s="1"/>
  <c r="G14" i="23"/>
  <c r="H14" i="23" s="1"/>
  <c r="I14" i="23" s="1"/>
  <c r="J14" i="23" s="1"/>
  <c r="K14" i="23" s="1"/>
  <c r="G14" i="22"/>
  <c r="H14" i="22" s="1"/>
  <c r="I14" i="22" s="1"/>
  <c r="J14" i="22" s="1"/>
  <c r="K14" i="22" s="1"/>
  <c r="G14" i="17"/>
  <c r="H14" i="17" s="1"/>
  <c r="I14" i="17" s="1"/>
  <c r="J14" i="17" s="1"/>
  <c r="K14" i="17" s="1"/>
  <c r="G14" i="16"/>
  <c r="H14" i="16" s="1"/>
  <c r="I14" i="16" s="1"/>
  <c r="J14" i="16" s="1"/>
  <c r="K14" i="16" s="1"/>
  <c r="G14" i="20"/>
  <c r="G14" i="18"/>
  <c r="H14" i="18" s="1"/>
  <c r="I14" i="18" s="1"/>
  <c r="J14" i="18" s="1"/>
  <c r="K14" i="18" s="1"/>
  <c r="G14" i="15"/>
  <c r="H14" i="15" s="1"/>
  <c r="I14" i="15" s="1"/>
  <c r="J14" i="15" s="1"/>
  <c r="K14" i="15" s="1"/>
  <c r="G15" i="19"/>
  <c r="H15" i="19" s="1"/>
  <c r="I15" i="19" s="1"/>
  <c r="J15" i="19" s="1"/>
  <c r="K15" i="19" s="1"/>
  <c r="G14" i="11"/>
  <c r="H14" i="11" s="1"/>
  <c r="I14" i="11" s="1"/>
  <c r="J14" i="11" s="1"/>
  <c r="K14" i="11" s="1"/>
  <c r="G14" i="8"/>
  <c r="H14" i="8" s="1"/>
  <c r="I14" i="8" s="1"/>
  <c r="J14" i="8" s="1"/>
  <c r="K14" i="8" s="1"/>
  <c r="G14" i="10"/>
  <c r="H14" i="10" s="1"/>
  <c r="I14" i="10" s="1"/>
  <c r="J14" i="10" s="1"/>
  <c r="K14" i="10" s="1"/>
  <c r="G14" i="9"/>
  <c r="H14" i="9" s="1"/>
  <c r="I14" i="9" s="1"/>
  <c r="J14" i="9" s="1"/>
  <c r="K14" i="9" s="1"/>
  <c r="G14" i="7"/>
  <c r="H14" i="7" s="1"/>
  <c r="I14" i="7" s="1"/>
  <c r="J14" i="7" s="1"/>
  <c r="K14" i="7" s="1"/>
  <c r="G3" i="7"/>
  <c r="H3" i="7" s="1"/>
  <c r="G3" i="23"/>
  <c r="H3" i="23" s="1"/>
  <c r="I3" i="23" s="1"/>
  <c r="J3" i="23" s="1"/>
  <c r="K3" i="23" s="1"/>
  <c r="G3" i="24"/>
  <c r="H3" i="24" s="1"/>
  <c r="I3" i="24" s="1"/>
  <c r="J3" i="24" s="1"/>
  <c r="K3" i="24" s="1"/>
  <c r="G3" i="22"/>
  <c r="H3" i="22" s="1"/>
  <c r="I3" i="22" s="1"/>
  <c r="J3" i="22" s="1"/>
  <c r="K3" i="22" s="1"/>
  <c r="G3" i="18"/>
  <c r="H3" i="18" s="1"/>
  <c r="I3" i="18" s="1"/>
  <c r="J3" i="18" s="1"/>
  <c r="K3" i="18" s="1"/>
  <c r="G3" i="17"/>
  <c r="H3" i="17" s="1"/>
  <c r="I3" i="17" s="1"/>
  <c r="J3" i="17" s="1"/>
  <c r="K3" i="17" s="1"/>
  <c r="G3" i="19"/>
  <c r="H3" i="19" s="1"/>
  <c r="I3" i="19" s="1"/>
  <c r="J3" i="19" s="1"/>
  <c r="K3" i="19" s="1"/>
  <c r="G3" i="15"/>
  <c r="H3" i="15" s="1"/>
  <c r="I3" i="15" s="1"/>
  <c r="J3" i="15" s="1"/>
  <c r="K3" i="15" s="1"/>
  <c r="G3" i="20"/>
  <c r="G3" i="16"/>
  <c r="H3" i="16" s="1"/>
  <c r="I3" i="16" s="1"/>
  <c r="J3" i="16" s="1"/>
  <c r="K3" i="16" s="1"/>
  <c r="G3" i="8"/>
  <c r="H3" i="8" s="1"/>
  <c r="I3" i="8" s="1"/>
  <c r="J3" i="8" s="1"/>
  <c r="K3" i="8" s="1"/>
  <c r="G3" i="10"/>
  <c r="H3" i="10" s="1"/>
  <c r="I3" i="10" s="1"/>
  <c r="J3" i="10" s="1"/>
  <c r="K3" i="10" s="1"/>
  <c r="G3" i="9"/>
  <c r="H3" i="9" s="1"/>
  <c r="I3" i="9" s="1"/>
  <c r="J3" i="9" s="1"/>
  <c r="K3" i="9" s="1"/>
  <c r="G3" i="11"/>
  <c r="H3" i="11" s="1"/>
  <c r="I3" i="11" s="1"/>
  <c r="J3" i="11" s="1"/>
  <c r="K3" i="11" s="1"/>
  <c r="G8" i="7"/>
  <c r="H8" i="7" s="1"/>
  <c r="G8" i="24"/>
  <c r="H8" i="24" s="1"/>
  <c r="I8" i="24" s="1"/>
  <c r="J8" i="24" s="1"/>
  <c r="K8" i="24" s="1"/>
  <c r="G8" i="23"/>
  <c r="H8" i="23" s="1"/>
  <c r="I8" i="23" s="1"/>
  <c r="J8" i="23" s="1"/>
  <c r="K8" i="23" s="1"/>
  <c r="G8" i="22"/>
  <c r="G97" i="22" s="1"/>
  <c r="G8" i="20"/>
  <c r="G85" i="20" s="1"/>
  <c r="G8" i="16"/>
  <c r="G85" i="16" s="1"/>
  <c r="G90" i="16" s="1"/>
  <c r="G8" i="17"/>
  <c r="G9" i="19"/>
  <c r="G8" i="18"/>
  <c r="G8" i="15"/>
  <c r="H8" i="15" s="1"/>
  <c r="I8" i="15" s="1"/>
  <c r="J8" i="15" s="1"/>
  <c r="K8" i="15" s="1"/>
  <c r="G8" i="11"/>
  <c r="G92" i="11" s="1"/>
  <c r="G8" i="8"/>
  <c r="H8" i="8" s="1"/>
  <c r="I8" i="8" s="1"/>
  <c r="J8" i="8" s="1"/>
  <c r="K8" i="8" s="1"/>
  <c r="G8" i="10"/>
  <c r="G8" i="9"/>
  <c r="G13" i="23"/>
  <c r="H13" i="23" s="1"/>
  <c r="I13" i="23" s="1"/>
  <c r="J13" i="23" s="1"/>
  <c r="K13" i="23" s="1"/>
  <c r="G13" i="22"/>
  <c r="H13" i="22" s="1"/>
  <c r="G13" i="24"/>
  <c r="H13" i="24" s="1"/>
  <c r="I13" i="24" s="1"/>
  <c r="J13" i="24" s="1"/>
  <c r="K13" i="24" s="1"/>
  <c r="G13" i="18"/>
  <c r="H13" i="18" s="1"/>
  <c r="I13" i="18" s="1"/>
  <c r="J13" i="18" s="1"/>
  <c r="K13" i="18" s="1"/>
  <c r="G13" i="17"/>
  <c r="H13" i="17" s="1"/>
  <c r="I13" i="17" s="1"/>
  <c r="J13" i="17" s="1"/>
  <c r="K13" i="17" s="1"/>
  <c r="G13" i="20"/>
  <c r="G14" i="19"/>
  <c r="H14" i="19" s="1"/>
  <c r="I14" i="19" s="1"/>
  <c r="J14" i="19" s="1"/>
  <c r="K14" i="19" s="1"/>
  <c r="G13" i="15"/>
  <c r="H13" i="15" s="1"/>
  <c r="I13" i="15" s="1"/>
  <c r="J13" i="15" s="1"/>
  <c r="K13" i="15" s="1"/>
  <c r="G13" i="16"/>
  <c r="H13" i="16" s="1"/>
  <c r="I13" i="16" s="1"/>
  <c r="J13" i="16" s="1"/>
  <c r="K13" i="16" s="1"/>
  <c r="G13" i="8"/>
  <c r="H13" i="8" s="1"/>
  <c r="I13" i="8" s="1"/>
  <c r="J13" i="8" s="1"/>
  <c r="K13" i="8" s="1"/>
  <c r="G13" i="10"/>
  <c r="H13" i="10" s="1"/>
  <c r="I13" i="10" s="1"/>
  <c r="J13" i="10" s="1"/>
  <c r="K13" i="10" s="1"/>
  <c r="G13" i="9"/>
  <c r="H13" i="9" s="1"/>
  <c r="I13" i="9" s="1"/>
  <c r="J13" i="9" s="1"/>
  <c r="K13" i="9" s="1"/>
  <c r="G13" i="7"/>
  <c r="H13" i="7" s="1"/>
  <c r="I13" i="7" s="1"/>
  <c r="J13" i="7" s="1"/>
  <c r="K13" i="7" s="1"/>
  <c r="G13" i="11"/>
  <c r="H13" i="11" s="1"/>
  <c r="I13" i="11" s="1"/>
  <c r="J13" i="11" s="1"/>
  <c r="K13" i="11" s="1"/>
  <c r="G4" i="7"/>
  <c r="H4" i="7" s="1"/>
  <c r="G4" i="24"/>
  <c r="H4" i="24" s="1"/>
  <c r="I4" i="24" s="1"/>
  <c r="J4" i="24" s="1"/>
  <c r="K4" i="24" s="1"/>
  <c r="G4" i="23"/>
  <c r="H4" i="23" s="1"/>
  <c r="I4" i="23" s="1"/>
  <c r="J4" i="23" s="1"/>
  <c r="K4" i="23" s="1"/>
  <c r="G4" i="22"/>
  <c r="H4" i="22" s="1"/>
  <c r="I4" i="22" s="1"/>
  <c r="J4" i="22" s="1"/>
  <c r="K4" i="22" s="1"/>
  <c r="G4" i="20"/>
  <c r="G4" i="16"/>
  <c r="H4" i="16" s="1"/>
  <c r="I4" i="16" s="1"/>
  <c r="J4" i="16" s="1"/>
  <c r="K4" i="16" s="1"/>
  <c r="G4" i="18"/>
  <c r="H4" i="18" s="1"/>
  <c r="I4" i="18" s="1"/>
  <c r="J4" i="18" s="1"/>
  <c r="K4" i="18" s="1"/>
  <c r="G4" i="19"/>
  <c r="H4" i="19" s="1"/>
  <c r="I4" i="19" s="1"/>
  <c r="J4" i="19" s="1"/>
  <c r="K4" i="19" s="1"/>
  <c r="G4" i="17"/>
  <c r="H4" i="17" s="1"/>
  <c r="I4" i="17" s="1"/>
  <c r="J4" i="17" s="1"/>
  <c r="K4" i="17" s="1"/>
  <c r="G4" i="15"/>
  <c r="H4" i="15" s="1"/>
  <c r="I4" i="15" s="1"/>
  <c r="J4" i="15" s="1"/>
  <c r="K4" i="15" s="1"/>
  <c r="G4" i="11"/>
  <c r="H4" i="11" s="1"/>
  <c r="I4" i="11" s="1"/>
  <c r="J4" i="11" s="1"/>
  <c r="K4" i="11" s="1"/>
  <c r="G4" i="8"/>
  <c r="H4" i="8" s="1"/>
  <c r="I4" i="8" s="1"/>
  <c r="J4" i="8" s="1"/>
  <c r="K4" i="8" s="1"/>
  <c r="G4" i="10"/>
  <c r="H4" i="10" s="1"/>
  <c r="I4" i="10" s="1"/>
  <c r="J4" i="10" s="1"/>
  <c r="K4" i="10" s="1"/>
  <c r="G4" i="9"/>
  <c r="H4" i="9" s="1"/>
  <c r="I4" i="9" s="1"/>
  <c r="J4" i="9" s="1"/>
  <c r="K4" i="9" s="1"/>
  <c r="G10" i="7"/>
  <c r="H10" i="7" s="1"/>
  <c r="I10" i="7" s="1"/>
  <c r="J10" i="7" s="1"/>
  <c r="K10" i="7" s="1"/>
  <c r="G10" i="24"/>
  <c r="H10" i="24" s="1"/>
  <c r="I10" i="24" s="1"/>
  <c r="J10" i="24" s="1"/>
  <c r="K10" i="24" s="1"/>
  <c r="G10" i="23"/>
  <c r="H10" i="23" s="1"/>
  <c r="I10" i="23" s="1"/>
  <c r="J10" i="23" s="1"/>
  <c r="K10" i="23" s="1"/>
  <c r="G10" i="22"/>
  <c r="H10" i="22" s="1"/>
  <c r="I10" i="22" s="1"/>
  <c r="J10" i="22" s="1"/>
  <c r="K10" i="22" s="1"/>
  <c r="G10" i="18"/>
  <c r="H10" i="18" s="1"/>
  <c r="I10" i="18" s="1"/>
  <c r="J10" i="18" s="1"/>
  <c r="K10" i="18" s="1"/>
  <c r="G10" i="16"/>
  <c r="H10" i="16" s="1"/>
  <c r="I10" i="16" s="1"/>
  <c r="J10" i="16" s="1"/>
  <c r="K10" i="16" s="1"/>
  <c r="G10" i="20"/>
  <c r="H10" i="20" s="1"/>
  <c r="I10" i="20" s="1"/>
  <c r="J10" i="20" s="1"/>
  <c r="K10" i="20" s="1"/>
  <c r="G10" i="17"/>
  <c r="H10" i="17" s="1"/>
  <c r="I10" i="17" s="1"/>
  <c r="J10" i="17" s="1"/>
  <c r="K10" i="17" s="1"/>
  <c r="G11" i="19"/>
  <c r="H11" i="19" s="1"/>
  <c r="I11" i="19" s="1"/>
  <c r="J11" i="19" s="1"/>
  <c r="K11" i="19" s="1"/>
  <c r="G10" i="15"/>
  <c r="H10" i="15" s="1"/>
  <c r="I10" i="15" s="1"/>
  <c r="J10" i="15" s="1"/>
  <c r="K10" i="15" s="1"/>
  <c r="G10" i="11"/>
  <c r="H10" i="11" s="1"/>
  <c r="I10" i="11" s="1"/>
  <c r="J10" i="11" s="1"/>
  <c r="K10" i="11" s="1"/>
  <c r="G10" i="8"/>
  <c r="H10" i="8" s="1"/>
  <c r="I10" i="8" s="1"/>
  <c r="J10" i="8" s="1"/>
  <c r="K10" i="8" s="1"/>
  <c r="G10" i="10"/>
  <c r="H10" i="10" s="1"/>
  <c r="I10" i="10" s="1"/>
  <c r="J10" i="10" s="1"/>
  <c r="K10" i="10" s="1"/>
  <c r="G10" i="9"/>
  <c r="H10" i="9" s="1"/>
  <c r="I10" i="9" s="1"/>
  <c r="J10" i="9" s="1"/>
  <c r="K10" i="9" s="1"/>
  <c r="G9" i="7"/>
  <c r="H9" i="7" s="1"/>
  <c r="I9" i="7" s="1"/>
  <c r="J9" i="7" s="1"/>
  <c r="K9" i="7" s="1"/>
  <c r="G9" i="24"/>
  <c r="H9" i="24" s="1"/>
  <c r="I9" i="24" s="1"/>
  <c r="J9" i="24" s="1"/>
  <c r="K9" i="24" s="1"/>
  <c r="G9" i="22"/>
  <c r="G100" i="22" s="1"/>
  <c r="G9" i="23"/>
  <c r="H9" i="23" s="1"/>
  <c r="I9" i="23" s="1"/>
  <c r="J9" i="23" s="1"/>
  <c r="K9" i="23" s="1"/>
  <c r="G9" i="18"/>
  <c r="H9" i="18" s="1"/>
  <c r="I9" i="18" s="1"/>
  <c r="J9" i="18" s="1"/>
  <c r="K9" i="18" s="1"/>
  <c r="G9" i="17"/>
  <c r="G9" i="20"/>
  <c r="H9" i="20" s="1"/>
  <c r="I9" i="20" s="1"/>
  <c r="J9" i="20" s="1"/>
  <c r="K9" i="20" s="1"/>
  <c r="G10" i="19"/>
  <c r="H10" i="19" s="1"/>
  <c r="I10" i="19" s="1"/>
  <c r="J10" i="19" s="1"/>
  <c r="K10" i="19" s="1"/>
  <c r="G9" i="15"/>
  <c r="H9" i="15" s="1"/>
  <c r="I9" i="15" s="1"/>
  <c r="J9" i="15" s="1"/>
  <c r="K9" i="15" s="1"/>
  <c r="G9" i="16"/>
  <c r="H9" i="16" s="1"/>
  <c r="I9" i="16" s="1"/>
  <c r="J9" i="16" s="1"/>
  <c r="K9" i="16" s="1"/>
  <c r="G9" i="8"/>
  <c r="G9" i="10"/>
  <c r="H9" i="10" s="1"/>
  <c r="I9" i="10" s="1"/>
  <c r="J9" i="10" s="1"/>
  <c r="K9" i="10" s="1"/>
  <c r="G9" i="9"/>
  <c r="H9" i="9" s="1"/>
  <c r="I9" i="9" s="1"/>
  <c r="J9" i="9" s="1"/>
  <c r="K9" i="9" s="1"/>
  <c r="G9" i="11"/>
  <c r="G11" i="23"/>
  <c r="G11" i="24"/>
  <c r="G11" i="22"/>
  <c r="G107" i="22" s="1"/>
  <c r="G11" i="20"/>
  <c r="G11" i="18"/>
  <c r="G11" i="17"/>
  <c r="H11" i="17" s="1"/>
  <c r="I11" i="17" s="1"/>
  <c r="J11" i="17" s="1"/>
  <c r="K11" i="17" s="1"/>
  <c r="G12" i="19"/>
  <c r="G11" i="15"/>
  <c r="G73" i="15" s="1"/>
  <c r="G11" i="16"/>
  <c r="G11" i="8"/>
  <c r="H11" i="8" s="1"/>
  <c r="I11" i="8" s="1"/>
  <c r="J11" i="8" s="1"/>
  <c r="K11" i="8" s="1"/>
  <c r="G11" i="10"/>
  <c r="H11" i="10" s="1"/>
  <c r="I11" i="10" s="1"/>
  <c r="J11" i="10" s="1"/>
  <c r="K11" i="10" s="1"/>
  <c r="G11" i="9"/>
  <c r="H11" i="9" s="1"/>
  <c r="I11" i="9" s="1"/>
  <c r="J11" i="9" s="1"/>
  <c r="K11" i="9" s="1"/>
  <c r="G11" i="7"/>
  <c r="G11" i="11"/>
  <c r="H11" i="11" s="1"/>
  <c r="I11" i="11" s="1"/>
  <c r="J11" i="11" s="1"/>
  <c r="K11" i="11" s="1"/>
  <c r="G5" i="7"/>
  <c r="H5" i="7" s="1"/>
  <c r="G5" i="23"/>
  <c r="H5" i="23" s="1"/>
  <c r="I5" i="23" s="1"/>
  <c r="J5" i="23" s="1"/>
  <c r="K5" i="23" s="1"/>
  <c r="G5" i="22"/>
  <c r="G5" i="24"/>
  <c r="H5" i="24" s="1"/>
  <c r="I5" i="24" s="1"/>
  <c r="J5" i="24" s="1"/>
  <c r="K5" i="24" s="1"/>
  <c r="G5" i="18"/>
  <c r="G5" i="17"/>
  <c r="G5" i="19"/>
  <c r="G5" i="15"/>
  <c r="H5" i="15" s="1"/>
  <c r="I5" i="15" s="1"/>
  <c r="J5" i="15" s="1"/>
  <c r="K5" i="15" s="1"/>
  <c r="G5" i="20"/>
  <c r="G5" i="16"/>
  <c r="H5" i="16" s="1"/>
  <c r="I5" i="16" s="1"/>
  <c r="J5" i="16" s="1"/>
  <c r="K5" i="16" s="1"/>
  <c r="G5" i="8"/>
  <c r="G5" i="10"/>
  <c r="G5" i="9"/>
  <c r="G5" i="11"/>
  <c r="G12" i="24"/>
  <c r="H12" i="24" s="1"/>
  <c r="I12" i="24" s="1"/>
  <c r="J12" i="24" s="1"/>
  <c r="K12" i="24" s="1"/>
  <c r="G12" i="23"/>
  <c r="H12" i="23" s="1"/>
  <c r="I12" i="23" s="1"/>
  <c r="J12" i="23" s="1"/>
  <c r="K12" i="23" s="1"/>
  <c r="G12" i="22"/>
  <c r="G101" i="22" s="1"/>
  <c r="G12" i="16"/>
  <c r="H12" i="16" s="1"/>
  <c r="I12" i="16" s="1"/>
  <c r="J12" i="16" s="1"/>
  <c r="K12" i="16" s="1"/>
  <c r="G12" i="18"/>
  <c r="G12" i="20"/>
  <c r="G12" i="17"/>
  <c r="G13" i="19"/>
  <c r="G12" i="15"/>
  <c r="H12" i="15" s="1"/>
  <c r="I12" i="15" s="1"/>
  <c r="J12" i="15" s="1"/>
  <c r="K12" i="15" s="1"/>
  <c r="G12" i="11"/>
  <c r="H12" i="11" s="1"/>
  <c r="I12" i="11" s="1"/>
  <c r="J12" i="11" s="1"/>
  <c r="K12" i="11" s="1"/>
  <c r="G12" i="8"/>
  <c r="G12" i="10"/>
  <c r="H12" i="10" s="1"/>
  <c r="I12" i="10" s="1"/>
  <c r="J12" i="10" s="1"/>
  <c r="K12" i="10" s="1"/>
  <c r="G12" i="9"/>
  <c r="G12" i="7"/>
  <c r="H12" i="7" s="1"/>
  <c r="I12" i="7" s="1"/>
  <c r="J12" i="7" s="1"/>
  <c r="K12" i="7" s="1"/>
  <c r="G6" i="7"/>
  <c r="G6" i="24"/>
  <c r="G6" i="23"/>
  <c r="G6" i="22"/>
  <c r="G6" i="20"/>
  <c r="H6" i="20" s="1"/>
  <c r="I6" i="20" s="1"/>
  <c r="J6" i="20" s="1"/>
  <c r="K6" i="20" s="1"/>
  <c r="G6" i="17"/>
  <c r="H6" i="17" s="1"/>
  <c r="I6" i="17" s="1"/>
  <c r="J6" i="17" s="1"/>
  <c r="K6" i="17" s="1"/>
  <c r="G6" i="16"/>
  <c r="G6" i="18"/>
  <c r="H6" i="18" s="1"/>
  <c r="I6" i="18" s="1"/>
  <c r="J6" i="18" s="1"/>
  <c r="K6" i="18" s="1"/>
  <c r="G6" i="15"/>
  <c r="G6" i="19"/>
  <c r="H6" i="19" s="1"/>
  <c r="I6" i="19" s="1"/>
  <c r="J6" i="19" s="1"/>
  <c r="K6" i="19" s="1"/>
  <c r="G6" i="11"/>
  <c r="H6" i="11" s="1"/>
  <c r="I6" i="11" s="1"/>
  <c r="J6" i="11" s="1"/>
  <c r="K6" i="11" s="1"/>
  <c r="G6" i="8"/>
  <c r="G6" i="10"/>
  <c r="H6" i="10" s="1"/>
  <c r="I6" i="10" s="1"/>
  <c r="J6" i="10" s="1"/>
  <c r="K6" i="10" s="1"/>
  <c r="G6" i="9"/>
  <c r="H6" i="9" s="1"/>
  <c r="I6" i="9" s="1"/>
  <c r="J6" i="9" s="1"/>
  <c r="K6" i="9" s="1"/>
  <c r="J119" i="19"/>
  <c r="H75" i="27" s="1"/>
  <c r="J99" i="18"/>
  <c r="H66" i="27" s="1"/>
  <c r="I92" i="18"/>
  <c r="I105" i="18"/>
  <c r="I140" i="17"/>
  <c r="F142" i="27" s="1"/>
  <c r="I127" i="17"/>
  <c r="J119" i="11"/>
  <c r="H128" i="27" s="1"/>
  <c r="I88" i="10"/>
  <c r="F118" i="27" s="1"/>
  <c r="J88" i="10"/>
  <c r="H118" i="27" s="1"/>
  <c r="I132" i="8"/>
  <c r="F56" i="27" s="1"/>
  <c r="I115" i="16"/>
  <c r="F42" i="27" s="1"/>
  <c r="I102" i="16"/>
  <c r="J108" i="16"/>
  <c r="H35" i="27" s="1"/>
  <c r="K107" i="15"/>
  <c r="J46" i="27" s="1"/>
  <c r="L46" i="27" s="1"/>
  <c r="I113" i="15"/>
  <c r="F52" i="27" s="1"/>
  <c r="I100" i="15"/>
  <c r="J106" i="15"/>
  <c r="H45" i="27" s="1"/>
  <c r="J121" i="11"/>
  <c r="H130" i="27" s="1"/>
  <c r="K121" i="11"/>
  <c r="J130" i="27" s="1"/>
  <c r="H123" i="11"/>
  <c r="D132" i="27" s="1"/>
  <c r="H110" i="11"/>
  <c r="I85" i="10"/>
  <c r="F115" i="27" s="1"/>
  <c r="K17" i="9"/>
  <c r="H101" i="9"/>
  <c r="D112" i="27" s="1"/>
  <c r="H88" i="9"/>
  <c r="I94" i="9"/>
  <c r="F105" i="27" s="1"/>
  <c r="J99" i="9"/>
  <c r="H110" i="27" s="1"/>
  <c r="K99" i="9"/>
  <c r="J110" i="27" s="1"/>
  <c r="K17" i="8"/>
  <c r="H138" i="8"/>
  <c r="D62" i="27" s="1"/>
  <c r="H125" i="8"/>
  <c r="J136" i="8"/>
  <c r="H60" i="27" s="1"/>
  <c r="K136" i="8"/>
  <c r="J60" i="27" s="1"/>
  <c r="I94" i="7"/>
  <c r="F25" i="27" s="1"/>
  <c r="G83" i="7"/>
  <c r="G98" i="7"/>
  <c r="B29" i="27" s="1"/>
  <c r="J95" i="7"/>
  <c r="H26" i="27" s="1"/>
  <c r="H101" i="7"/>
  <c r="D32" i="27" s="1"/>
  <c r="J99" i="7"/>
  <c r="H30" i="27" s="1"/>
  <c r="K99" i="7"/>
  <c r="J30" i="27" s="1"/>
  <c r="H6" i="22" l="1"/>
  <c r="G106" i="22"/>
  <c r="H64" i="28"/>
  <c r="H72" i="28" s="1"/>
  <c r="H67" i="28"/>
  <c r="H75" i="28" s="1"/>
  <c r="H68" i="28"/>
  <c r="H76" i="28" s="1"/>
  <c r="H63" i="28"/>
  <c r="H71" i="28" s="1"/>
  <c r="I8" i="28"/>
  <c r="H69" i="28"/>
  <c r="H77" i="28" s="1"/>
  <c r="H65" i="28"/>
  <c r="H73" i="28" s="1"/>
  <c r="H70" i="28"/>
  <c r="H78" i="28" s="1"/>
  <c r="H66" i="28"/>
  <c r="H74" i="28" s="1"/>
  <c r="H6" i="16"/>
  <c r="G81" i="16"/>
  <c r="G78" i="16"/>
  <c r="G75" i="16"/>
  <c r="G84" i="16"/>
  <c r="H6" i="23"/>
  <c r="G69" i="23"/>
  <c r="G68" i="23"/>
  <c r="G73" i="23" s="1"/>
  <c r="G66" i="23"/>
  <c r="G64" i="23"/>
  <c r="G104" i="8"/>
  <c r="G101" i="8"/>
  <c r="G98" i="8"/>
  <c r="G65" i="23"/>
  <c r="G67" i="23"/>
  <c r="G70" i="23"/>
  <c r="H6" i="24"/>
  <c r="G69" i="24"/>
  <c r="G68" i="24"/>
  <c r="G66" i="24"/>
  <c r="G64" i="24"/>
  <c r="G91" i="24" s="1"/>
  <c r="B94" i="27" s="1"/>
  <c r="G106" i="17"/>
  <c r="G99" i="17"/>
  <c r="G84" i="15"/>
  <c r="H6" i="15"/>
  <c r="G80" i="15"/>
  <c r="G78" i="15"/>
  <c r="G72" i="15"/>
  <c r="G76" i="15"/>
  <c r="G81" i="15"/>
  <c r="G74" i="15"/>
  <c r="H6" i="7"/>
  <c r="G67" i="7"/>
  <c r="G72" i="7"/>
  <c r="G70" i="7"/>
  <c r="G79" i="28"/>
  <c r="G93" i="28" s="1"/>
  <c r="G97" i="28"/>
  <c r="H7" i="22"/>
  <c r="G120" i="22"/>
  <c r="G112" i="22"/>
  <c r="G116" i="22"/>
  <c r="G104" i="22"/>
  <c r="G99" i="22"/>
  <c r="G108" i="22"/>
  <c r="G119" i="22"/>
  <c r="G111" i="22"/>
  <c r="G115" i="22"/>
  <c r="G103" i="22"/>
  <c r="G98" i="22"/>
  <c r="L130" i="27"/>
  <c r="L30" i="27"/>
  <c r="L60" i="27"/>
  <c r="L10" i="27"/>
  <c r="L12" i="27"/>
  <c r="L110" i="27"/>
  <c r="F72" i="27"/>
  <c r="D72" i="27"/>
  <c r="J105" i="20"/>
  <c r="G89" i="19"/>
  <c r="G81" i="19"/>
  <c r="G91" i="19"/>
  <c r="G87" i="19"/>
  <c r="G83" i="19"/>
  <c r="G79" i="19"/>
  <c r="G85" i="19"/>
  <c r="G90" i="19"/>
  <c r="G86" i="19"/>
  <c r="G82" i="19"/>
  <c r="G92" i="19"/>
  <c r="G88" i="19"/>
  <c r="G84" i="19"/>
  <c r="G80" i="19"/>
  <c r="G72" i="18"/>
  <c r="G74" i="18"/>
  <c r="G69" i="18"/>
  <c r="G76" i="18"/>
  <c r="G71" i="18"/>
  <c r="G68" i="18"/>
  <c r="G75" i="18"/>
  <c r="G67" i="18"/>
  <c r="G73" i="18"/>
  <c r="G70" i="18"/>
  <c r="G80" i="20"/>
  <c r="G78" i="20"/>
  <c r="G84" i="20"/>
  <c r="G93" i="20" s="1"/>
  <c r="H4" i="20"/>
  <c r="G75" i="20"/>
  <c r="G82" i="20"/>
  <c r="G91" i="20" s="1"/>
  <c r="G79" i="20"/>
  <c r="G83" i="20"/>
  <c r="G92" i="20" s="1"/>
  <c r="G77" i="20"/>
  <c r="G88" i="20" s="1"/>
  <c r="G81" i="20"/>
  <c r="H13" i="20"/>
  <c r="G74" i="20"/>
  <c r="H3" i="20"/>
  <c r="G73" i="20"/>
  <c r="H14" i="20"/>
  <c r="G76" i="20"/>
  <c r="G109" i="22"/>
  <c r="G114" i="22"/>
  <c r="G118" i="22"/>
  <c r="G110" i="22"/>
  <c r="G102" i="22"/>
  <c r="G121" i="22"/>
  <c r="G105" i="22"/>
  <c r="G117" i="22"/>
  <c r="G113" i="22"/>
  <c r="I13" i="22"/>
  <c r="H11" i="22"/>
  <c r="H107" i="22" s="1"/>
  <c r="H13" i="19"/>
  <c r="G101" i="17"/>
  <c r="G108" i="17"/>
  <c r="G94" i="17"/>
  <c r="G89" i="17"/>
  <c r="H5" i="17"/>
  <c r="H11" i="20"/>
  <c r="G86" i="11"/>
  <c r="G90" i="11"/>
  <c r="G94" i="11"/>
  <c r="G82" i="11"/>
  <c r="H9" i="11"/>
  <c r="G79" i="16"/>
  <c r="G73" i="16"/>
  <c r="G76" i="16"/>
  <c r="G82" i="16"/>
  <c r="H8" i="16"/>
  <c r="H85" i="16" s="1"/>
  <c r="H90" i="16" s="1"/>
  <c r="H8" i="19"/>
  <c r="G105" i="17"/>
  <c r="G109" i="17"/>
  <c r="G107" i="17"/>
  <c r="G93" i="17"/>
  <c r="G98" i="17"/>
  <c r="H12" i="17"/>
  <c r="G100" i="17"/>
  <c r="G68" i="9"/>
  <c r="G65" i="9"/>
  <c r="G71" i="9"/>
  <c r="H5" i="9"/>
  <c r="H5" i="20"/>
  <c r="H5" i="18"/>
  <c r="G68" i="7"/>
  <c r="G71" i="7"/>
  <c r="G65" i="7"/>
  <c r="H12" i="19"/>
  <c r="G64" i="10"/>
  <c r="G62" i="10"/>
  <c r="G60" i="10"/>
  <c r="H8" i="10"/>
  <c r="H8" i="18"/>
  <c r="H8" i="20"/>
  <c r="G94" i="8"/>
  <c r="G89" i="8"/>
  <c r="G100" i="8"/>
  <c r="H7" i="8"/>
  <c r="H7" i="20"/>
  <c r="G97" i="8"/>
  <c r="G88" i="8"/>
  <c r="G103" i="8"/>
  <c r="G111" i="8" s="1"/>
  <c r="G93" i="8"/>
  <c r="G106" i="8"/>
  <c r="G113" i="8" s="1"/>
  <c r="H6" i="8"/>
  <c r="H12" i="20"/>
  <c r="G61" i="10"/>
  <c r="G59" i="10"/>
  <c r="G63" i="10"/>
  <c r="H5" i="10"/>
  <c r="H11" i="24"/>
  <c r="G65" i="24"/>
  <c r="G72" i="24" s="1"/>
  <c r="G63" i="24"/>
  <c r="G71" i="24" s="1"/>
  <c r="G70" i="24"/>
  <c r="G74" i="24" s="1"/>
  <c r="G67" i="24"/>
  <c r="G73" i="24" s="1"/>
  <c r="H9" i="19"/>
  <c r="H8" i="22"/>
  <c r="G81" i="11"/>
  <c r="G85" i="11"/>
  <c r="G93" i="11"/>
  <c r="G89" i="11"/>
  <c r="H7" i="11"/>
  <c r="G91" i="17"/>
  <c r="G103" i="17"/>
  <c r="G96" i="17"/>
  <c r="H7" i="17"/>
  <c r="G91" i="11"/>
  <c r="G79" i="11"/>
  <c r="G83" i="11"/>
  <c r="G87" i="11"/>
  <c r="H5" i="11"/>
  <c r="G75" i="15"/>
  <c r="G82" i="15"/>
  <c r="G88" i="15" s="1"/>
  <c r="G71" i="15"/>
  <c r="G79" i="15"/>
  <c r="G87" i="15" s="1"/>
  <c r="G77" i="15"/>
  <c r="G86" i="15" s="1"/>
  <c r="H11" i="15"/>
  <c r="G104" i="17"/>
  <c r="G92" i="17"/>
  <c r="G97" i="17"/>
  <c r="H9" i="17"/>
  <c r="G72" i="9"/>
  <c r="G69" i="9"/>
  <c r="G66" i="9"/>
  <c r="H8" i="9"/>
  <c r="H65" i="7"/>
  <c r="H68" i="7"/>
  <c r="H71" i="7"/>
  <c r="G105" i="8"/>
  <c r="G112" i="8" s="1"/>
  <c r="G102" i="8"/>
  <c r="G90" i="8"/>
  <c r="G99" i="8"/>
  <c r="G95" i="8"/>
  <c r="H12" i="8"/>
  <c r="H12" i="22"/>
  <c r="G73" i="9"/>
  <c r="G67" i="9"/>
  <c r="G70" i="9"/>
  <c r="G75" i="9" s="1"/>
  <c r="H12" i="9"/>
  <c r="H12" i="18"/>
  <c r="G92" i="8"/>
  <c r="G87" i="8"/>
  <c r="H5" i="8"/>
  <c r="H5" i="19"/>
  <c r="H5" i="22"/>
  <c r="G69" i="7"/>
  <c r="G73" i="7"/>
  <c r="G76" i="7" s="1"/>
  <c r="G66" i="7"/>
  <c r="H11" i="7"/>
  <c r="G83" i="16"/>
  <c r="G77" i="16"/>
  <c r="G74" i="16"/>
  <c r="G86" i="16" s="1"/>
  <c r="G80" i="16"/>
  <c r="G88" i="16" s="1"/>
  <c r="H11" i="16"/>
  <c r="H11" i="18"/>
  <c r="G74" i="23"/>
  <c r="G63" i="23"/>
  <c r="H11" i="23"/>
  <c r="H70" i="23" s="1"/>
  <c r="G91" i="8"/>
  <c r="G96" i="8"/>
  <c r="H9" i="8"/>
  <c r="H9" i="22"/>
  <c r="G88" i="11"/>
  <c r="G84" i="11"/>
  <c r="G80" i="11"/>
  <c r="H8" i="11"/>
  <c r="G95" i="17"/>
  <c r="G90" i="17"/>
  <c r="G102" i="17"/>
  <c r="H8" i="17"/>
  <c r="H7" i="18"/>
  <c r="J92" i="18"/>
  <c r="J105" i="18"/>
  <c r="H72" i="27" s="1"/>
  <c r="K105" i="18"/>
  <c r="J72" i="27" s="1"/>
  <c r="K92" i="18"/>
  <c r="K99" i="18"/>
  <c r="J66" i="27" s="1"/>
  <c r="K127" i="17"/>
  <c r="K140" i="17"/>
  <c r="J142" i="27" s="1"/>
  <c r="J127" i="17"/>
  <c r="J140" i="17"/>
  <c r="H142" i="27" s="1"/>
  <c r="K88" i="10"/>
  <c r="J118" i="27" s="1"/>
  <c r="L118" i="27" s="1"/>
  <c r="J132" i="8"/>
  <c r="H56" i="27" s="1"/>
  <c r="K108" i="16"/>
  <c r="J35" i="27" s="1"/>
  <c r="L35" i="27" s="1"/>
  <c r="K102" i="16"/>
  <c r="K115" i="16"/>
  <c r="J42" i="27" s="1"/>
  <c r="J102" i="16"/>
  <c r="J115" i="16"/>
  <c r="H42" i="27" s="1"/>
  <c r="K100" i="15"/>
  <c r="K113" i="15"/>
  <c r="J52" i="27" s="1"/>
  <c r="J100" i="15"/>
  <c r="J113" i="15"/>
  <c r="H52" i="27" s="1"/>
  <c r="K106" i="15"/>
  <c r="J45" i="27" s="1"/>
  <c r="L45" i="27" s="1"/>
  <c r="K119" i="11"/>
  <c r="J128" i="27" s="1"/>
  <c r="L128" i="27" s="1"/>
  <c r="I123" i="11"/>
  <c r="F132" i="27" s="1"/>
  <c r="I110" i="11"/>
  <c r="J85" i="10"/>
  <c r="H115" i="27" s="1"/>
  <c r="J94" i="9"/>
  <c r="H105" i="27" s="1"/>
  <c r="I101" i="9"/>
  <c r="F112" i="27" s="1"/>
  <c r="I88" i="9"/>
  <c r="I138" i="8"/>
  <c r="F62" i="27" s="1"/>
  <c r="I125" i="8"/>
  <c r="I8" i="7"/>
  <c r="I7" i="7"/>
  <c r="I4" i="7"/>
  <c r="I3" i="7"/>
  <c r="I5" i="7"/>
  <c r="I88" i="7"/>
  <c r="I101" i="7"/>
  <c r="F32" i="27" s="1"/>
  <c r="J94" i="7"/>
  <c r="H25" i="27" s="1"/>
  <c r="K95" i="7"/>
  <c r="J26" i="27" s="1"/>
  <c r="L26" i="27" s="1"/>
  <c r="H73" i="15" l="1"/>
  <c r="H75" i="15"/>
  <c r="H85" i="15" s="1"/>
  <c r="H77" i="15"/>
  <c r="H86" i="15" s="1"/>
  <c r="H79" i="15"/>
  <c r="B146" i="27"/>
  <c r="G102" i="28"/>
  <c r="B151" i="27" s="1"/>
  <c r="I6" i="15"/>
  <c r="H72" i="15"/>
  <c r="H74" i="15"/>
  <c r="H76" i="15"/>
  <c r="H78" i="15"/>
  <c r="H80" i="15"/>
  <c r="H81" i="15"/>
  <c r="I6" i="24"/>
  <c r="H69" i="24"/>
  <c r="H68" i="24"/>
  <c r="H66" i="24"/>
  <c r="H64" i="24"/>
  <c r="I6" i="16"/>
  <c r="H84" i="16"/>
  <c r="H81" i="16"/>
  <c r="H78" i="16"/>
  <c r="H75" i="16"/>
  <c r="G74" i="7"/>
  <c r="G76" i="9"/>
  <c r="G85" i="15"/>
  <c r="G115" i="17"/>
  <c r="B143" i="27"/>
  <c r="G107" i="28"/>
  <c r="G94" i="28"/>
  <c r="G110" i="28"/>
  <c r="G109" i="28"/>
  <c r="G111" i="28"/>
  <c r="G108" i="28"/>
  <c r="I6" i="7"/>
  <c r="H72" i="7"/>
  <c r="H70" i="7"/>
  <c r="H67" i="7"/>
  <c r="G107" i="16"/>
  <c r="B34" i="27" s="1"/>
  <c r="G87" i="16"/>
  <c r="H104" i="8"/>
  <c r="H101" i="8"/>
  <c r="H98" i="8"/>
  <c r="H106" i="17"/>
  <c r="H99" i="17"/>
  <c r="G113" i="17"/>
  <c r="G112" i="17"/>
  <c r="H97" i="28"/>
  <c r="D146" i="27" s="1"/>
  <c r="H79" i="28"/>
  <c r="G111" i="17"/>
  <c r="G105" i="15"/>
  <c r="B44" i="27" s="1"/>
  <c r="I70" i="28"/>
  <c r="I78" i="28" s="1"/>
  <c r="I66" i="28"/>
  <c r="I74" i="28" s="1"/>
  <c r="I64" i="28"/>
  <c r="I72" i="28" s="1"/>
  <c r="I67" i="28"/>
  <c r="I75" i="28" s="1"/>
  <c r="J8" i="28"/>
  <c r="I65" i="28"/>
  <c r="I73" i="28" s="1"/>
  <c r="I68" i="28"/>
  <c r="I76" i="28" s="1"/>
  <c r="I69" i="28"/>
  <c r="I77" i="28" s="1"/>
  <c r="I63" i="28"/>
  <c r="I71" i="28" s="1"/>
  <c r="G89" i="16"/>
  <c r="G75" i="7"/>
  <c r="G83" i="15"/>
  <c r="G89" i="15" s="1"/>
  <c r="G103" i="15" s="1"/>
  <c r="B43" i="27" s="1"/>
  <c r="G110" i="17"/>
  <c r="G114" i="17"/>
  <c r="G72" i="23"/>
  <c r="G71" i="23"/>
  <c r="G75" i="23" s="1"/>
  <c r="G89" i="23" s="1"/>
  <c r="G91" i="23"/>
  <c r="B84" i="27" s="1"/>
  <c r="I6" i="23"/>
  <c r="H69" i="23"/>
  <c r="H68" i="23"/>
  <c r="H66" i="23"/>
  <c r="H64" i="23"/>
  <c r="I6" i="22"/>
  <c r="H106" i="22"/>
  <c r="G122" i="22"/>
  <c r="G110" i="8"/>
  <c r="G109" i="8"/>
  <c r="G108" i="8"/>
  <c r="G107" i="8"/>
  <c r="G75" i="24"/>
  <c r="G89" i="24" s="1"/>
  <c r="B93" i="27" s="1"/>
  <c r="G74" i="9"/>
  <c r="G80" i="18"/>
  <c r="G124" i="22"/>
  <c r="G126" i="22"/>
  <c r="H119" i="22"/>
  <c r="H111" i="22"/>
  <c r="H115" i="22"/>
  <c r="H103" i="22"/>
  <c r="H98" i="22"/>
  <c r="G125" i="22"/>
  <c r="G87" i="20"/>
  <c r="G90" i="20"/>
  <c r="G127" i="22"/>
  <c r="G145" i="22"/>
  <c r="B15" i="27" s="1"/>
  <c r="G123" i="22"/>
  <c r="G86" i="20"/>
  <c r="G89" i="20"/>
  <c r="I7" i="22"/>
  <c r="H99" i="22"/>
  <c r="H116" i="22"/>
  <c r="H104" i="22"/>
  <c r="H120" i="22"/>
  <c r="H112" i="22"/>
  <c r="L142" i="27"/>
  <c r="L52" i="27"/>
  <c r="L42" i="27"/>
  <c r="L72" i="27"/>
  <c r="G99" i="19"/>
  <c r="G97" i="19"/>
  <c r="G66" i="10"/>
  <c r="G86" i="10"/>
  <c r="B116" i="27" s="1"/>
  <c r="G95" i="9"/>
  <c r="B106" i="27" s="1"/>
  <c r="G100" i="19"/>
  <c r="G94" i="19"/>
  <c r="G95" i="19"/>
  <c r="H80" i="19"/>
  <c r="H84" i="19"/>
  <c r="H88" i="19"/>
  <c r="H92" i="19"/>
  <c r="H82" i="19"/>
  <c r="H86" i="19"/>
  <c r="H90" i="19"/>
  <c r="G96" i="19"/>
  <c r="H87" i="19"/>
  <c r="H81" i="19"/>
  <c r="H85" i="19"/>
  <c r="H89" i="19"/>
  <c r="H79" i="19"/>
  <c r="H83" i="19"/>
  <c r="H91" i="19"/>
  <c r="G98" i="19"/>
  <c r="H70" i="18"/>
  <c r="H67" i="18"/>
  <c r="H73" i="18"/>
  <c r="H75" i="18"/>
  <c r="H68" i="18"/>
  <c r="H71" i="18"/>
  <c r="H72" i="18"/>
  <c r="H74" i="18"/>
  <c r="H76" i="18"/>
  <c r="H69" i="18"/>
  <c r="I3" i="20"/>
  <c r="H73" i="20"/>
  <c r="H77" i="20"/>
  <c r="H88" i="20" s="1"/>
  <c r="H79" i="20"/>
  <c r="H81" i="20"/>
  <c r="H82" i="20"/>
  <c r="H91" i="20" s="1"/>
  <c r="H83" i="20"/>
  <c r="H92" i="20" s="1"/>
  <c r="H85" i="20"/>
  <c r="I14" i="20"/>
  <c r="H76" i="20"/>
  <c r="I13" i="20"/>
  <c r="H74" i="20"/>
  <c r="I4" i="20"/>
  <c r="H75" i="20"/>
  <c r="H78" i="20"/>
  <c r="H80" i="20"/>
  <c r="H84" i="20"/>
  <c r="I11" i="22"/>
  <c r="I107" i="22" s="1"/>
  <c r="J13" i="22"/>
  <c r="G133" i="8"/>
  <c r="B57" i="27" s="1"/>
  <c r="G111" i="20"/>
  <c r="B5" i="27" s="1"/>
  <c r="G112" i="20"/>
  <c r="B6" i="27" s="1"/>
  <c r="G118" i="11"/>
  <c r="B127" i="27" s="1"/>
  <c r="G96" i="11"/>
  <c r="G97" i="7"/>
  <c r="B28" i="27" s="1"/>
  <c r="G131" i="8"/>
  <c r="B55" i="27" s="1"/>
  <c r="G67" i="10"/>
  <c r="G101" i="18"/>
  <c r="B68" i="27" s="1"/>
  <c r="G135" i="17"/>
  <c r="B137" i="27" s="1"/>
  <c r="H97" i="22"/>
  <c r="H110" i="22"/>
  <c r="H118" i="22"/>
  <c r="H102" i="22"/>
  <c r="I8" i="22"/>
  <c r="H89" i="8"/>
  <c r="H100" i="8"/>
  <c r="H110" i="8" s="1"/>
  <c r="H94" i="8"/>
  <c r="I7" i="8"/>
  <c r="I12" i="19"/>
  <c r="I5" i="18"/>
  <c r="I12" i="17"/>
  <c r="H98" i="17"/>
  <c r="H93" i="17"/>
  <c r="H107" i="17"/>
  <c r="H114" i="17" s="1"/>
  <c r="H105" i="17"/>
  <c r="H100" i="17"/>
  <c r="H112" i="17" s="1"/>
  <c r="H109" i="17"/>
  <c r="I9" i="22"/>
  <c r="H100" i="22"/>
  <c r="H113" i="22"/>
  <c r="H121" i="22"/>
  <c r="H105" i="22"/>
  <c r="H117" i="22"/>
  <c r="H63" i="23"/>
  <c r="H71" i="23" s="1"/>
  <c r="H65" i="23"/>
  <c r="H74" i="23"/>
  <c r="H67" i="23"/>
  <c r="I11" i="23"/>
  <c r="I70" i="23" s="1"/>
  <c r="G144" i="22"/>
  <c r="B14" i="27" s="1"/>
  <c r="G134" i="8"/>
  <c r="B58" i="27" s="1"/>
  <c r="G122" i="19"/>
  <c r="B78" i="27" s="1"/>
  <c r="H67" i="24"/>
  <c r="H65" i="24"/>
  <c r="H72" i="24" s="1"/>
  <c r="H63" i="24"/>
  <c r="H71" i="24" s="1"/>
  <c r="H70" i="24"/>
  <c r="H74" i="24" s="1"/>
  <c r="I11" i="24"/>
  <c r="G93" i="7"/>
  <c r="B24" i="27" s="1"/>
  <c r="I7" i="18"/>
  <c r="G134" i="17"/>
  <c r="B136" i="27" s="1"/>
  <c r="G111" i="16"/>
  <c r="B38" i="27" s="1"/>
  <c r="I65" i="7"/>
  <c r="I68" i="7"/>
  <c r="I71" i="7"/>
  <c r="I11" i="18"/>
  <c r="I5" i="19"/>
  <c r="H92" i="8"/>
  <c r="H87" i="8"/>
  <c r="I5" i="8"/>
  <c r="G79" i="18"/>
  <c r="G97" i="9"/>
  <c r="B108" i="27" s="1"/>
  <c r="H66" i="9"/>
  <c r="H69" i="9"/>
  <c r="H72" i="9"/>
  <c r="I8" i="9"/>
  <c r="I9" i="17"/>
  <c r="H97" i="17"/>
  <c r="H92" i="17"/>
  <c r="H104" i="17"/>
  <c r="H84" i="15"/>
  <c r="H82" i="15"/>
  <c r="H88" i="15" s="1"/>
  <c r="H71" i="15"/>
  <c r="H87" i="15"/>
  <c r="I11" i="15"/>
  <c r="G97" i="11"/>
  <c r="H103" i="17"/>
  <c r="H96" i="17"/>
  <c r="H91" i="17"/>
  <c r="I7" i="17"/>
  <c r="H81" i="11"/>
  <c r="H85" i="11"/>
  <c r="H89" i="11"/>
  <c r="H93" i="11"/>
  <c r="I7" i="11"/>
  <c r="G116" i="11"/>
  <c r="B125" i="27" s="1"/>
  <c r="G95" i="24"/>
  <c r="I6" i="8"/>
  <c r="H93" i="8"/>
  <c r="H97" i="8"/>
  <c r="H103" i="8"/>
  <c r="H111" i="8" s="1"/>
  <c r="H88" i="8"/>
  <c r="H106" i="8"/>
  <c r="H113" i="8" s="1"/>
  <c r="I7" i="20"/>
  <c r="I8" i="10"/>
  <c r="H62" i="10"/>
  <c r="H60" i="10"/>
  <c r="H64" i="10"/>
  <c r="I5" i="20"/>
  <c r="H65" i="9"/>
  <c r="H68" i="9"/>
  <c r="H71" i="9"/>
  <c r="I5" i="9"/>
  <c r="I9" i="11"/>
  <c r="H86" i="11"/>
  <c r="H94" i="11"/>
  <c r="H82" i="11"/>
  <c r="H90" i="11"/>
  <c r="G132" i="17"/>
  <c r="B134" i="27" s="1"/>
  <c r="H90" i="17"/>
  <c r="H102" i="17"/>
  <c r="H95" i="17"/>
  <c r="I8" i="17"/>
  <c r="H80" i="11"/>
  <c r="H84" i="11"/>
  <c r="H88" i="11"/>
  <c r="H92" i="11"/>
  <c r="I8" i="11"/>
  <c r="G95" i="23"/>
  <c r="H74" i="16"/>
  <c r="H77" i="16"/>
  <c r="H80" i="16"/>
  <c r="H83" i="16"/>
  <c r="I11" i="16"/>
  <c r="G118" i="19"/>
  <c r="B74" i="27" s="1"/>
  <c r="G130" i="8"/>
  <c r="B54" i="27" s="1"/>
  <c r="G146" i="22"/>
  <c r="B16" i="27" s="1"/>
  <c r="G65" i="10"/>
  <c r="G84" i="10"/>
  <c r="B114" i="27" s="1"/>
  <c r="G99" i="18"/>
  <c r="B66" i="27" s="1"/>
  <c r="L66" i="27" s="1"/>
  <c r="G98" i="18"/>
  <c r="B65" i="27" s="1"/>
  <c r="I11" i="20"/>
  <c r="G117" i="11"/>
  <c r="B126" i="27" s="1"/>
  <c r="H66" i="7"/>
  <c r="H74" i="7" s="1"/>
  <c r="H69" i="7"/>
  <c r="H75" i="7" s="1"/>
  <c r="H73" i="7"/>
  <c r="I11" i="7"/>
  <c r="H108" i="22"/>
  <c r="I5" i="22"/>
  <c r="H70" i="9"/>
  <c r="H73" i="9"/>
  <c r="H67" i="9"/>
  <c r="I12" i="9"/>
  <c r="H109" i="22"/>
  <c r="H101" i="22"/>
  <c r="H114" i="22"/>
  <c r="I12" i="22"/>
  <c r="G95" i="11"/>
  <c r="G115" i="11"/>
  <c r="B124" i="27" s="1"/>
  <c r="I8" i="20"/>
  <c r="I8" i="18"/>
  <c r="G110" i="20"/>
  <c r="B4" i="27" s="1"/>
  <c r="G93" i="9"/>
  <c r="B104" i="27" s="1"/>
  <c r="G109" i="16"/>
  <c r="B36" i="27" s="1"/>
  <c r="I13" i="19"/>
  <c r="G147" i="22"/>
  <c r="B17" i="27" s="1"/>
  <c r="I9" i="8"/>
  <c r="H96" i="8"/>
  <c r="H91" i="8"/>
  <c r="G78" i="18"/>
  <c r="I12" i="18"/>
  <c r="G148" i="22"/>
  <c r="B18" i="27" s="1"/>
  <c r="H102" i="8"/>
  <c r="H90" i="8"/>
  <c r="H99" i="8"/>
  <c r="H105" i="8"/>
  <c r="H112" i="8" s="1"/>
  <c r="H95" i="8"/>
  <c r="I12" i="8"/>
  <c r="G109" i="15"/>
  <c r="H83" i="11"/>
  <c r="H91" i="11"/>
  <c r="H79" i="11"/>
  <c r="H87" i="11"/>
  <c r="I5" i="11"/>
  <c r="G98" i="11"/>
  <c r="G133" i="17"/>
  <c r="B135" i="27" s="1"/>
  <c r="I9" i="19"/>
  <c r="H61" i="10"/>
  <c r="H63" i="10"/>
  <c r="H59" i="10"/>
  <c r="I5" i="10"/>
  <c r="G114" i="20"/>
  <c r="B8" i="27" s="1"/>
  <c r="I12" i="20"/>
  <c r="G77" i="18"/>
  <c r="G97" i="18"/>
  <c r="B64" i="27" s="1"/>
  <c r="G136" i="17"/>
  <c r="B138" i="27" s="1"/>
  <c r="I8" i="19"/>
  <c r="H73" i="16"/>
  <c r="H76" i="16"/>
  <c r="H79" i="16"/>
  <c r="H82" i="16"/>
  <c r="I8" i="16"/>
  <c r="I85" i="16" s="1"/>
  <c r="I90" i="16" s="1"/>
  <c r="H94" i="17"/>
  <c r="H108" i="17"/>
  <c r="H89" i="17"/>
  <c r="H101" i="17"/>
  <c r="I5" i="17"/>
  <c r="K132" i="8"/>
  <c r="J56" i="27" s="1"/>
  <c r="L56" i="27" s="1"/>
  <c r="K110" i="11"/>
  <c r="K123" i="11"/>
  <c r="J132" i="27" s="1"/>
  <c r="J110" i="11"/>
  <c r="J123" i="11"/>
  <c r="H132" i="27" s="1"/>
  <c r="K85" i="10"/>
  <c r="J115" i="27" s="1"/>
  <c r="L115" i="27" s="1"/>
  <c r="J88" i="9"/>
  <c r="J101" i="9"/>
  <c r="H112" i="27" s="1"/>
  <c r="K88" i="9"/>
  <c r="K101" i="9"/>
  <c r="J112" i="27" s="1"/>
  <c r="K94" i="9"/>
  <c r="J105" i="27" s="1"/>
  <c r="L105" i="27" s="1"/>
  <c r="J125" i="8"/>
  <c r="J138" i="8"/>
  <c r="H62" i="27" s="1"/>
  <c r="K125" i="8"/>
  <c r="K138" i="8"/>
  <c r="J62" i="27" s="1"/>
  <c r="J8" i="7"/>
  <c r="J7" i="7"/>
  <c r="J4" i="7"/>
  <c r="J3" i="7"/>
  <c r="J5" i="7"/>
  <c r="J88" i="7"/>
  <c r="J101" i="7"/>
  <c r="H32" i="27" s="1"/>
  <c r="K88" i="7"/>
  <c r="K101" i="7"/>
  <c r="J32" i="27" s="1"/>
  <c r="H76" i="7" l="1"/>
  <c r="H72" i="23"/>
  <c r="H93" i="7"/>
  <c r="D24" i="27" s="1"/>
  <c r="H91" i="24"/>
  <c r="D94" i="27" s="1"/>
  <c r="H73" i="24"/>
  <c r="H91" i="23"/>
  <c r="D84" i="27" s="1"/>
  <c r="I106" i="17"/>
  <c r="I99" i="17"/>
  <c r="H105" i="15"/>
  <c r="D44" i="27" s="1"/>
  <c r="I73" i="15"/>
  <c r="I75" i="15"/>
  <c r="I77" i="15"/>
  <c r="I86" i="15" s="1"/>
  <c r="I79" i="15"/>
  <c r="I87" i="15" s="1"/>
  <c r="J6" i="22"/>
  <c r="I106" i="22"/>
  <c r="J6" i="7"/>
  <c r="I72" i="7"/>
  <c r="I70" i="7"/>
  <c r="I67" i="7"/>
  <c r="H107" i="16"/>
  <c r="D34" i="27" s="1"/>
  <c r="J6" i="16"/>
  <c r="I84" i="16"/>
  <c r="I81" i="16"/>
  <c r="I78" i="16"/>
  <c r="I75" i="16"/>
  <c r="J6" i="15"/>
  <c r="I72" i="15"/>
  <c r="I74" i="15"/>
  <c r="I76" i="15"/>
  <c r="I78" i="15"/>
  <c r="I80" i="15"/>
  <c r="I81" i="15"/>
  <c r="I101" i="8"/>
  <c r="I98" i="8"/>
  <c r="I104" i="8"/>
  <c r="J6" i="23"/>
  <c r="I64" i="23"/>
  <c r="I69" i="23"/>
  <c r="I68" i="23"/>
  <c r="I66" i="23"/>
  <c r="J6" i="24"/>
  <c r="I69" i="24"/>
  <c r="I68" i="24"/>
  <c r="I66" i="24"/>
  <c r="I64" i="24"/>
  <c r="H73" i="23"/>
  <c r="I97" i="28"/>
  <c r="F146" i="27" s="1"/>
  <c r="I79" i="28"/>
  <c r="J67" i="28"/>
  <c r="J75" i="28" s="1"/>
  <c r="J64" i="28"/>
  <c r="J72" i="28" s="1"/>
  <c r="J65" i="28"/>
  <c r="J73" i="28" s="1"/>
  <c r="J68" i="28"/>
  <c r="J76" i="28" s="1"/>
  <c r="J69" i="28"/>
  <c r="J77" i="28" s="1"/>
  <c r="J63" i="28"/>
  <c r="J71" i="28" s="1"/>
  <c r="J70" i="28"/>
  <c r="J78" i="28" s="1"/>
  <c r="J66" i="28"/>
  <c r="J74" i="28" s="1"/>
  <c r="K8" i="28"/>
  <c r="H145" i="22"/>
  <c r="D15" i="27" s="1"/>
  <c r="H109" i="8"/>
  <c r="H108" i="8"/>
  <c r="H107" i="8"/>
  <c r="H75" i="23"/>
  <c r="H75" i="24"/>
  <c r="H124" i="22"/>
  <c r="G102" i="19"/>
  <c r="G116" i="19" s="1"/>
  <c r="H125" i="22"/>
  <c r="J7" i="22"/>
  <c r="I120" i="22"/>
  <c r="I112" i="22"/>
  <c r="I99" i="22"/>
  <c r="I116" i="22"/>
  <c r="I104" i="22"/>
  <c r="G91" i="16"/>
  <c r="G105" i="16" s="1"/>
  <c r="G106" i="16" s="1"/>
  <c r="I119" i="22"/>
  <c r="I111" i="22"/>
  <c r="I98" i="22"/>
  <c r="I115" i="22"/>
  <c r="I103" i="22"/>
  <c r="H123" i="22"/>
  <c r="G94" i="20"/>
  <c r="H126" i="22"/>
  <c r="H127" i="22"/>
  <c r="H122" i="22"/>
  <c r="L62" i="27"/>
  <c r="L132" i="27"/>
  <c r="H87" i="20"/>
  <c r="L32" i="27"/>
  <c r="L112" i="27"/>
  <c r="G112" i="15"/>
  <c r="B51" i="27" s="1"/>
  <c r="B48" i="27"/>
  <c r="G98" i="23"/>
  <c r="B91" i="27" s="1"/>
  <c r="B88" i="27"/>
  <c r="H66" i="10"/>
  <c r="G98" i="24"/>
  <c r="B101" i="27" s="1"/>
  <c r="B98" i="27"/>
  <c r="G103" i="23"/>
  <c r="B83" i="27"/>
  <c r="G125" i="19"/>
  <c r="B81" i="27" s="1"/>
  <c r="H99" i="19"/>
  <c r="H100" i="19"/>
  <c r="H80" i="18"/>
  <c r="G104" i="18"/>
  <c r="B71" i="27" s="1"/>
  <c r="G139" i="17"/>
  <c r="B141" i="27" s="1"/>
  <c r="G122" i="11"/>
  <c r="B131" i="27" s="1"/>
  <c r="G91" i="10"/>
  <c r="B121" i="27" s="1"/>
  <c r="G100" i="9"/>
  <c r="B111" i="27" s="1"/>
  <c r="G137" i="8"/>
  <c r="B61" i="27" s="1"/>
  <c r="H93" i="20"/>
  <c r="G117" i="20"/>
  <c r="B11" i="27" s="1"/>
  <c r="G114" i="16"/>
  <c r="B41" i="27" s="1"/>
  <c r="G100" i="7"/>
  <c r="B31" i="27" s="1"/>
  <c r="G77" i="7"/>
  <c r="G91" i="7" s="1"/>
  <c r="B23" i="27" s="1"/>
  <c r="G151" i="22"/>
  <c r="B21" i="27" s="1"/>
  <c r="I81" i="19"/>
  <c r="I85" i="19"/>
  <c r="I89" i="19"/>
  <c r="I79" i="19"/>
  <c r="I83" i="19"/>
  <c r="I87" i="19"/>
  <c r="I91" i="19"/>
  <c r="H97" i="19"/>
  <c r="H98" i="19"/>
  <c r="H94" i="19"/>
  <c r="I80" i="19"/>
  <c r="I84" i="19"/>
  <c r="I92" i="19"/>
  <c r="I82" i="19"/>
  <c r="I86" i="19"/>
  <c r="I90" i="19"/>
  <c r="I88" i="19"/>
  <c r="H95" i="19"/>
  <c r="H96" i="19"/>
  <c r="I69" i="18"/>
  <c r="I72" i="18"/>
  <c r="I74" i="18"/>
  <c r="I76" i="18"/>
  <c r="I68" i="18"/>
  <c r="I71" i="18"/>
  <c r="H79" i="18"/>
  <c r="H77" i="18"/>
  <c r="I67" i="18"/>
  <c r="I77" i="18" s="1"/>
  <c r="I70" i="18"/>
  <c r="I73" i="18"/>
  <c r="I79" i="18" s="1"/>
  <c r="I75" i="18"/>
  <c r="I80" i="18" s="1"/>
  <c r="H78" i="18"/>
  <c r="H86" i="20"/>
  <c r="H90" i="20"/>
  <c r="I77" i="20"/>
  <c r="I88" i="20" s="1"/>
  <c r="I79" i="20"/>
  <c r="I81" i="20"/>
  <c r="I82" i="20"/>
  <c r="I91" i="20" s="1"/>
  <c r="I83" i="20"/>
  <c r="I92" i="20" s="1"/>
  <c r="I85" i="20"/>
  <c r="H89" i="20"/>
  <c r="J13" i="20"/>
  <c r="I74" i="20"/>
  <c r="I78" i="20"/>
  <c r="I89" i="20" s="1"/>
  <c r="I80" i="20"/>
  <c r="I90" i="20" s="1"/>
  <c r="I84" i="20"/>
  <c r="J4" i="20"/>
  <c r="I75" i="20"/>
  <c r="J14" i="20"/>
  <c r="I76" i="20"/>
  <c r="J3" i="20"/>
  <c r="I73" i="20"/>
  <c r="J11" i="22"/>
  <c r="J107" i="22" s="1"/>
  <c r="K13" i="22"/>
  <c r="H96" i="11"/>
  <c r="G68" i="10"/>
  <c r="G82" i="10" s="1"/>
  <c r="H133" i="17"/>
  <c r="D135" i="27" s="1"/>
  <c r="H88" i="16"/>
  <c r="H87" i="16"/>
  <c r="H118" i="11"/>
  <c r="D127" i="27" s="1"/>
  <c r="G81" i="18"/>
  <c r="G95" i="18" s="1"/>
  <c r="H97" i="7"/>
  <c r="D28" i="27" s="1"/>
  <c r="G128" i="22"/>
  <c r="G142" i="22" s="1"/>
  <c r="G114" i="8"/>
  <c r="G128" i="8" s="1"/>
  <c r="H111" i="17"/>
  <c r="H97" i="11"/>
  <c r="G99" i="11"/>
  <c r="G113" i="11" s="1"/>
  <c r="H74" i="9"/>
  <c r="H93" i="9"/>
  <c r="D104" i="27" s="1"/>
  <c r="J5" i="20"/>
  <c r="I60" i="10"/>
  <c r="I62" i="10"/>
  <c r="I64" i="10"/>
  <c r="J8" i="10"/>
  <c r="J5" i="19"/>
  <c r="J7" i="18"/>
  <c r="H95" i="23"/>
  <c r="D88" i="27" s="1"/>
  <c r="J65" i="7"/>
  <c r="J68" i="7"/>
  <c r="J71" i="7"/>
  <c r="H95" i="11"/>
  <c r="H115" i="11"/>
  <c r="D124" i="27" s="1"/>
  <c r="I101" i="22"/>
  <c r="I114" i="22"/>
  <c r="I109" i="22"/>
  <c r="J12" i="22"/>
  <c r="G90" i="23"/>
  <c r="G105" i="23"/>
  <c r="G106" i="23"/>
  <c r="G104" i="23"/>
  <c r="G107" i="23"/>
  <c r="H110" i="20"/>
  <c r="D4" i="27" s="1"/>
  <c r="I71" i="15"/>
  <c r="I84" i="15"/>
  <c r="I85" i="15"/>
  <c r="I82" i="15"/>
  <c r="I88" i="15" s="1"/>
  <c r="J11" i="15"/>
  <c r="J9" i="22"/>
  <c r="I117" i="22"/>
  <c r="I121" i="22"/>
  <c r="I113" i="22"/>
  <c r="I105" i="22"/>
  <c r="I100" i="22"/>
  <c r="H136" i="17"/>
  <c r="D138" i="27" s="1"/>
  <c r="H97" i="18"/>
  <c r="J12" i="19"/>
  <c r="H110" i="17"/>
  <c r="H132" i="17"/>
  <c r="D134" i="27" s="1"/>
  <c r="I76" i="16"/>
  <c r="I79" i="16"/>
  <c r="I82" i="16"/>
  <c r="I73" i="16"/>
  <c r="J8" i="16"/>
  <c r="J85" i="16" s="1"/>
  <c r="J90" i="16" s="1"/>
  <c r="H86" i="16"/>
  <c r="H109" i="16"/>
  <c r="D36" i="27" s="1"/>
  <c r="I119" i="19"/>
  <c r="F75" i="27" s="1"/>
  <c r="J8" i="19"/>
  <c r="J12" i="20"/>
  <c r="H67" i="10"/>
  <c r="H98" i="11"/>
  <c r="J12" i="18"/>
  <c r="H133" i="8"/>
  <c r="D57" i="27" s="1"/>
  <c r="J13" i="19"/>
  <c r="G77" i="9"/>
  <c r="G91" i="9" s="1"/>
  <c r="B103" i="27" s="1"/>
  <c r="I67" i="9"/>
  <c r="I70" i="9"/>
  <c r="I73" i="9"/>
  <c r="J12" i="9"/>
  <c r="I108" i="22"/>
  <c r="J5" i="22"/>
  <c r="H114" i="20"/>
  <c r="D8" i="27" s="1"/>
  <c r="G116" i="17"/>
  <c r="G130" i="17" s="1"/>
  <c r="B133" i="27" s="1"/>
  <c r="H76" i="9"/>
  <c r="H86" i="10"/>
  <c r="D116" i="27" s="1"/>
  <c r="J7" i="20"/>
  <c r="I87" i="8"/>
  <c r="I92" i="8"/>
  <c r="J5" i="8"/>
  <c r="J11" i="18"/>
  <c r="I70" i="24"/>
  <c r="I74" i="24" s="1"/>
  <c r="I67" i="24"/>
  <c r="I65" i="24"/>
  <c r="I63" i="24"/>
  <c r="J11" i="24"/>
  <c r="H147" i="22"/>
  <c r="D17" i="27" s="1"/>
  <c r="H122" i="19"/>
  <c r="D78" i="27" s="1"/>
  <c r="H131" i="8"/>
  <c r="D55" i="27" s="1"/>
  <c r="I89" i="17"/>
  <c r="I94" i="17"/>
  <c r="I101" i="17"/>
  <c r="I108" i="17"/>
  <c r="J5" i="17"/>
  <c r="I59" i="10"/>
  <c r="I61" i="10"/>
  <c r="I63" i="10"/>
  <c r="J5" i="10"/>
  <c r="J9" i="8"/>
  <c r="I96" i="8"/>
  <c r="I91" i="8"/>
  <c r="J8" i="18"/>
  <c r="J8" i="20"/>
  <c r="J8" i="17"/>
  <c r="I90" i="17"/>
  <c r="I95" i="17"/>
  <c r="I102" i="17"/>
  <c r="I91" i="17"/>
  <c r="I96" i="17"/>
  <c r="I103" i="17"/>
  <c r="J7" i="17"/>
  <c r="H83" i="15"/>
  <c r="H89" i="15" s="1"/>
  <c r="H109" i="15"/>
  <c r="D48" i="27" s="1"/>
  <c r="I66" i="9"/>
  <c r="I69" i="9"/>
  <c r="I72" i="9"/>
  <c r="J8" i="9"/>
  <c r="H95" i="24"/>
  <c r="D98" i="27" s="1"/>
  <c r="I63" i="23"/>
  <c r="I71" i="23" s="1"/>
  <c r="I65" i="23"/>
  <c r="I74" i="23"/>
  <c r="I67" i="23"/>
  <c r="I73" i="23" s="1"/>
  <c r="J11" i="23"/>
  <c r="J70" i="23" s="1"/>
  <c r="J5" i="18"/>
  <c r="H113" i="17"/>
  <c r="H65" i="10"/>
  <c r="H84" i="10"/>
  <c r="D114" i="27" s="1"/>
  <c r="G121" i="15"/>
  <c r="G104" i="15"/>
  <c r="G117" i="15"/>
  <c r="G119" i="15"/>
  <c r="G118" i="15"/>
  <c r="G120" i="15"/>
  <c r="H148" i="22"/>
  <c r="D18" i="27" s="1"/>
  <c r="H144" i="22"/>
  <c r="D14" i="27" s="1"/>
  <c r="J11" i="20"/>
  <c r="I65" i="9"/>
  <c r="I68" i="9"/>
  <c r="I71" i="9"/>
  <c r="J5" i="9"/>
  <c r="G106" i="24"/>
  <c r="G90" i="24"/>
  <c r="G107" i="24"/>
  <c r="G105" i="24"/>
  <c r="G103" i="24"/>
  <c r="G104" i="24"/>
  <c r="H135" i="17"/>
  <c r="D137" i="27" s="1"/>
  <c r="H115" i="17"/>
  <c r="H89" i="16"/>
  <c r="J9" i="19"/>
  <c r="I83" i="11"/>
  <c r="I91" i="11"/>
  <c r="I79" i="11"/>
  <c r="I87" i="11"/>
  <c r="J5" i="11"/>
  <c r="I90" i="8"/>
  <c r="I99" i="8"/>
  <c r="I105" i="8"/>
  <c r="I112" i="8" s="1"/>
  <c r="I95" i="8"/>
  <c r="I102" i="8"/>
  <c r="J12" i="8"/>
  <c r="H134" i="8"/>
  <c r="D58" i="27" s="1"/>
  <c r="H98" i="18"/>
  <c r="H112" i="20"/>
  <c r="D6" i="27" s="1"/>
  <c r="H97" i="9"/>
  <c r="D108" i="27" s="1"/>
  <c r="I66" i="7"/>
  <c r="I74" i="7" s="1"/>
  <c r="I69" i="7"/>
  <c r="I75" i="7" s="1"/>
  <c r="I73" i="7"/>
  <c r="J11" i="7"/>
  <c r="J11" i="16"/>
  <c r="I77" i="16"/>
  <c r="I80" i="16"/>
  <c r="I83" i="16"/>
  <c r="I74" i="16"/>
  <c r="H111" i="16"/>
  <c r="D38" i="27" s="1"/>
  <c r="I80" i="11"/>
  <c r="I88" i="11"/>
  <c r="I84" i="11"/>
  <c r="I92" i="11"/>
  <c r="J8" i="11"/>
  <c r="H117" i="11"/>
  <c r="D126" i="27" s="1"/>
  <c r="H134" i="17"/>
  <c r="D136" i="27" s="1"/>
  <c r="J9" i="11"/>
  <c r="I82" i="11"/>
  <c r="I86" i="11"/>
  <c r="I90" i="11"/>
  <c r="I94" i="11"/>
  <c r="H75" i="9"/>
  <c r="H111" i="20"/>
  <c r="D5" i="27" s="1"/>
  <c r="J6" i="8"/>
  <c r="I93" i="8"/>
  <c r="I97" i="8"/>
  <c r="I103" i="8"/>
  <c r="I111" i="8" s="1"/>
  <c r="I106" i="8"/>
  <c r="I113" i="8" s="1"/>
  <c r="I88" i="8"/>
  <c r="I81" i="11"/>
  <c r="I85" i="11"/>
  <c r="I89" i="11"/>
  <c r="I93" i="11"/>
  <c r="J7" i="11"/>
  <c r="H116" i="11"/>
  <c r="D125" i="27" s="1"/>
  <c r="J9" i="17"/>
  <c r="I92" i="17"/>
  <c r="I97" i="17"/>
  <c r="I104" i="17"/>
  <c r="H95" i="9"/>
  <c r="D106" i="27" s="1"/>
  <c r="H130" i="8"/>
  <c r="D54" i="27" s="1"/>
  <c r="H118" i="19"/>
  <c r="D74" i="27" s="1"/>
  <c r="H101" i="18"/>
  <c r="I93" i="17"/>
  <c r="I98" i="17"/>
  <c r="I100" i="17"/>
  <c r="I112" i="17" s="1"/>
  <c r="I105" i="17"/>
  <c r="I107" i="17"/>
  <c r="I114" i="17" s="1"/>
  <c r="I109" i="17"/>
  <c r="J12" i="17"/>
  <c r="I94" i="8"/>
  <c r="I89" i="8"/>
  <c r="I100" i="8"/>
  <c r="J7" i="8"/>
  <c r="I102" i="22"/>
  <c r="I97" i="22"/>
  <c r="I110" i="22"/>
  <c r="I118" i="22"/>
  <c r="J8" i="22"/>
  <c r="H146" i="22"/>
  <c r="D16" i="27" s="1"/>
  <c r="K8" i="7"/>
  <c r="H77" i="7"/>
  <c r="K7" i="7"/>
  <c r="K4" i="7"/>
  <c r="K3" i="7"/>
  <c r="K5" i="7"/>
  <c r="I73" i="24" l="1"/>
  <c r="I91" i="24"/>
  <c r="F94" i="27" s="1"/>
  <c r="I91" i="23"/>
  <c r="F84" i="27" s="1"/>
  <c r="I107" i="16"/>
  <c r="F34" i="27" s="1"/>
  <c r="I93" i="7"/>
  <c r="F24" i="27" s="1"/>
  <c r="K6" i="24"/>
  <c r="J69" i="24"/>
  <c r="J68" i="24"/>
  <c r="J66" i="24"/>
  <c r="J64" i="24"/>
  <c r="J106" i="17"/>
  <c r="J99" i="17"/>
  <c r="K6" i="7"/>
  <c r="J72" i="7"/>
  <c r="J70" i="7"/>
  <c r="J67" i="7"/>
  <c r="J93" i="7" s="1"/>
  <c r="H24" i="27" s="1"/>
  <c r="I71" i="24"/>
  <c r="I127" i="22"/>
  <c r="J97" i="28"/>
  <c r="H146" i="27" s="1"/>
  <c r="J79" i="28"/>
  <c r="I105" i="15"/>
  <c r="F44" i="27" s="1"/>
  <c r="J73" i="15"/>
  <c r="J75" i="15"/>
  <c r="J77" i="15"/>
  <c r="J86" i="15" s="1"/>
  <c r="J79" i="15"/>
  <c r="K6" i="16"/>
  <c r="J84" i="16"/>
  <c r="J81" i="16"/>
  <c r="J78" i="16"/>
  <c r="J75" i="16"/>
  <c r="K6" i="23"/>
  <c r="J66" i="23"/>
  <c r="J64" i="23"/>
  <c r="J69" i="23"/>
  <c r="J68" i="23"/>
  <c r="I109" i="8"/>
  <c r="I76" i="7"/>
  <c r="I72" i="23"/>
  <c r="I72" i="24"/>
  <c r="I75" i="24" s="1"/>
  <c r="J101" i="8"/>
  <c r="J98" i="8"/>
  <c r="J104" i="8"/>
  <c r="I96" i="19"/>
  <c r="K68" i="28"/>
  <c r="K76" i="28" s="1"/>
  <c r="K64" i="28"/>
  <c r="K72" i="28" s="1"/>
  <c r="K65" i="28"/>
  <c r="K73" i="28" s="1"/>
  <c r="K63" i="28"/>
  <c r="K71" i="28" s="1"/>
  <c r="K69" i="28"/>
  <c r="K77" i="28" s="1"/>
  <c r="K70" i="28"/>
  <c r="K78" i="28" s="1"/>
  <c r="K66" i="28"/>
  <c r="K74" i="28" s="1"/>
  <c r="K67" i="28"/>
  <c r="K75" i="28" s="1"/>
  <c r="K6" i="15"/>
  <c r="J72" i="15"/>
  <c r="J74" i="15"/>
  <c r="J76" i="15"/>
  <c r="J78" i="15"/>
  <c r="J80" i="15"/>
  <c r="J81" i="15"/>
  <c r="K6" i="22"/>
  <c r="K106" i="22" s="1"/>
  <c r="J106" i="22"/>
  <c r="I110" i="8"/>
  <c r="I108" i="8"/>
  <c r="I107" i="8"/>
  <c r="I75" i="23"/>
  <c r="I124" i="22"/>
  <c r="H91" i="16"/>
  <c r="I122" i="22"/>
  <c r="H102" i="19"/>
  <c r="J119" i="22"/>
  <c r="J111" i="22"/>
  <c r="J98" i="22"/>
  <c r="J115" i="22"/>
  <c r="J103" i="22"/>
  <c r="K7" i="22"/>
  <c r="J104" i="22"/>
  <c r="J120" i="22"/>
  <c r="J112" i="22"/>
  <c r="J99" i="22"/>
  <c r="J116" i="22"/>
  <c r="I145" i="22"/>
  <c r="F15" i="27" s="1"/>
  <c r="I125" i="22"/>
  <c r="I123" i="22"/>
  <c r="I126" i="22"/>
  <c r="I78" i="18"/>
  <c r="G121" i="16"/>
  <c r="B33" i="27"/>
  <c r="G146" i="8"/>
  <c r="B53" i="27"/>
  <c r="G100" i="10"/>
  <c r="B113" i="27"/>
  <c r="G159" i="22"/>
  <c r="B13" i="27"/>
  <c r="G130" i="19"/>
  <c r="B73" i="27"/>
  <c r="G96" i="18"/>
  <c r="B63" i="27"/>
  <c r="G129" i="11"/>
  <c r="B123" i="27"/>
  <c r="I95" i="19"/>
  <c r="I131" i="8"/>
  <c r="F55" i="27" s="1"/>
  <c r="I93" i="20"/>
  <c r="G105" i="7"/>
  <c r="G106" i="7"/>
  <c r="G108" i="7"/>
  <c r="G92" i="7"/>
  <c r="G107" i="7"/>
  <c r="G109" i="7"/>
  <c r="G99" i="10"/>
  <c r="G83" i="10"/>
  <c r="G98" i="10"/>
  <c r="G96" i="10"/>
  <c r="I94" i="19"/>
  <c r="I99" i="19"/>
  <c r="J82" i="19"/>
  <c r="J86" i="19"/>
  <c r="J90" i="19"/>
  <c r="J80" i="19"/>
  <c r="J84" i="19"/>
  <c r="J88" i="19"/>
  <c r="J92" i="19"/>
  <c r="I100" i="19"/>
  <c r="I98" i="19"/>
  <c r="I97" i="19"/>
  <c r="J89" i="19"/>
  <c r="J99" i="19" s="1"/>
  <c r="J79" i="19"/>
  <c r="J94" i="19" s="1"/>
  <c r="J83" i="19"/>
  <c r="J96" i="19" s="1"/>
  <c r="J87" i="19"/>
  <c r="J98" i="19" s="1"/>
  <c r="J91" i="19"/>
  <c r="J100" i="19" s="1"/>
  <c r="J81" i="19"/>
  <c r="J85" i="19"/>
  <c r="J69" i="18"/>
  <c r="J72" i="18"/>
  <c r="J74" i="18"/>
  <c r="J76" i="18"/>
  <c r="J68" i="18"/>
  <c r="J71" i="18"/>
  <c r="J67" i="18"/>
  <c r="J70" i="18"/>
  <c r="J73" i="18"/>
  <c r="J75" i="18"/>
  <c r="K3" i="20"/>
  <c r="K73" i="20" s="1"/>
  <c r="J73" i="20"/>
  <c r="K4" i="20"/>
  <c r="K75" i="20" s="1"/>
  <c r="J75" i="20"/>
  <c r="J77" i="20"/>
  <c r="J88" i="20" s="1"/>
  <c r="J79" i="20"/>
  <c r="J81" i="20"/>
  <c r="J82" i="20"/>
  <c r="J91" i="20" s="1"/>
  <c r="J83" i="20"/>
  <c r="J92" i="20" s="1"/>
  <c r="J85" i="20"/>
  <c r="K14" i="20"/>
  <c r="K76" i="20" s="1"/>
  <c r="J76" i="20"/>
  <c r="I86" i="20"/>
  <c r="I87" i="20"/>
  <c r="J78" i="20"/>
  <c r="J80" i="20"/>
  <c r="J84" i="20"/>
  <c r="K13" i="20"/>
  <c r="K74" i="20" s="1"/>
  <c r="J74" i="20"/>
  <c r="G120" i="16"/>
  <c r="K11" i="22"/>
  <c r="K107" i="22" s="1"/>
  <c r="G133" i="19"/>
  <c r="G132" i="19"/>
  <c r="G117" i="19"/>
  <c r="G131" i="19"/>
  <c r="G134" i="19"/>
  <c r="G113" i="18"/>
  <c r="G114" i="11"/>
  <c r="G143" i="22"/>
  <c r="G131" i="11"/>
  <c r="G143" i="8"/>
  <c r="G158" i="22"/>
  <c r="H116" i="17"/>
  <c r="H81" i="18"/>
  <c r="H114" i="8"/>
  <c r="I135" i="17"/>
  <c r="F137" i="27" s="1"/>
  <c r="I75" i="9"/>
  <c r="G112" i="18"/>
  <c r="I133" i="8"/>
  <c r="F57" i="27" s="1"/>
  <c r="G144" i="8"/>
  <c r="G111" i="18"/>
  <c r="G145" i="8"/>
  <c r="G110" i="18"/>
  <c r="G128" i="11"/>
  <c r="G127" i="11"/>
  <c r="I98" i="18"/>
  <c r="G97" i="10"/>
  <c r="G129" i="8"/>
  <c r="G142" i="8"/>
  <c r="G160" i="22"/>
  <c r="G109" i="18"/>
  <c r="G130" i="11"/>
  <c r="G156" i="22"/>
  <c r="I97" i="7"/>
  <c r="F28" i="27" s="1"/>
  <c r="G119" i="16"/>
  <c r="G122" i="16"/>
  <c r="G157" i="22"/>
  <c r="H68" i="10"/>
  <c r="G123" i="16"/>
  <c r="H99" i="11"/>
  <c r="I101" i="18"/>
  <c r="J79" i="11"/>
  <c r="J83" i="11"/>
  <c r="J87" i="11"/>
  <c r="J91" i="11"/>
  <c r="K5" i="11"/>
  <c r="I96" i="11"/>
  <c r="K9" i="19"/>
  <c r="K11" i="20"/>
  <c r="J59" i="10"/>
  <c r="J63" i="10"/>
  <c r="J61" i="10"/>
  <c r="K5" i="10"/>
  <c r="I113" i="17"/>
  <c r="I95" i="24"/>
  <c r="F98" i="27" s="1"/>
  <c r="J67" i="9"/>
  <c r="J70" i="9"/>
  <c r="J73" i="9"/>
  <c r="K12" i="9"/>
  <c r="G108" i="9"/>
  <c r="G105" i="9"/>
  <c r="G92" i="9"/>
  <c r="G107" i="9"/>
  <c r="G106" i="9"/>
  <c r="G109" i="9"/>
  <c r="K12" i="18"/>
  <c r="K8" i="19"/>
  <c r="K12" i="19"/>
  <c r="K9" i="22"/>
  <c r="J117" i="22"/>
  <c r="J105" i="22"/>
  <c r="J121" i="22"/>
  <c r="J100" i="22"/>
  <c r="J113" i="22"/>
  <c r="K5" i="19"/>
  <c r="K9" i="17"/>
  <c r="J104" i="17"/>
  <c r="J97" i="17"/>
  <c r="J92" i="17"/>
  <c r="K6" i="8"/>
  <c r="J88" i="8"/>
  <c r="J93" i="8"/>
  <c r="J97" i="8"/>
  <c r="J103" i="8"/>
  <c r="J111" i="8" s="1"/>
  <c r="J106" i="8"/>
  <c r="J113" i="8" s="1"/>
  <c r="I117" i="11"/>
  <c r="F126" i="27" s="1"/>
  <c r="I114" i="20"/>
  <c r="F8" i="27" s="1"/>
  <c r="J63" i="23"/>
  <c r="J65" i="23"/>
  <c r="J74" i="23"/>
  <c r="J67" i="23"/>
  <c r="J73" i="23" s="1"/>
  <c r="K11" i="23"/>
  <c r="K70" i="23" s="1"/>
  <c r="I95" i="23"/>
  <c r="F88" i="27" s="1"/>
  <c r="I67" i="10"/>
  <c r="I111" i="17"/>
  <c r="I148" i="22"/>
  <c r="F18" i="27" s="1"/>
  <c r="I146" i="22"/>
  <c r="F16" i="27" s="1"/>
  <c r="I136" i="17"/>
  <c r="F138" i="27" s="1"/>
  <c r="K9" i="11"/>
  <c r="J82" i="11"/>
  <c r="J86" i="11"/>
  <c r="J90" i="11"/>
  <c r="J94" i="11"/>
  <c r="J66" i="7"/>
  <c r="J69" i="7"/>
  <c r="J73" i="7"/>
  <c r="J76" i="7" s="1"/>
  <c r="K11" i="7"/>
  <c r="J90" i="8"/>
  <c r="J95" i="8"/>
  <c r="J99" i="8"/>
  <c r="J102" i="8"/>
  <c r="J105" i="8"/>
  <c r="J112" i="8" s="1"/>
  <c r="K12" i="8"/>
  <c r="I95" i="11"/>
  <c r="I115" i="11"/>
  <c r="F124" i="27" s="1"/>
  <c r="J71" i="9"/>
  <c r="J65" i="9"/>
  <c r="J68" i="9"/>
  <c r="K5" i="9"/>
  <c r="I97" i="18"/>
  <c r="J91" i="17"/>
  <c r="J103" i="17"/>
  <c r="J96" i="17"/>
  <c r="K7" i="17"/>
  <c r="I134" i="17"/>
  <c r="F136" i="27" s="1"/>
  <c r="I112" i="20"/>
  <c r="F6" i="27" s="1"/>
  <c r="K8" i="18"/>
  <c r="I66" i="10"/>
  <c r="J94" i="17"/>
  <c r="J108" i="17"/>
  <c r="J89" i="17"/>
  <c r="J101" i="17"/>
  <c r="K5" i="17"/>
  <c r="I110" i="17"/>
  <c r="I132" i="17"/>
  <c r="F134" i="27" s="1"/>
  <c r="K7" i="20"/>
  <c r="I111" i="20"/>
  <c r="F5" i="27" s="1"/>
  <c r="I144" i="22"/>
  <c r="F14" i="27" s="1"/>
  <c r="I88" i="16"/>
  <c r="K7" i="18"/>
  <c r="I65" i="10"/>
  <c r="I86" i="10"/>
  <c r="F116" i="27" s="1"/>
  <c r="I110" i="20"/>
  <c r="F4" i="27" s="1"/>
  <c r="J100" i="17"/>
  <c r="J112" i="17" s="1"/>
  <c r="J109" i="17"/>
  <c r="J98" i="17"/>
  <c r="J107" i="17"/>
  <c r="J114" i="17" s="1"/>
  <c r="J93" i="17"/>
  <c r="J105" i="17"/>
  <c r="K12" i="17"/>
  <c r="K5" i="18"/>
  <c r="J66" i="9"/>
  <c r="J69" i="9"/>
  <c r="J72" i="9"/>
  <c r="K8" i="9"/>
  <c r="I86" i="16"/>
  <c r="I109" i="16"/>
  <c r="F36" i="27" s="1"/>
  <c r="H128" i="22"/>
  <c r="I118" i="11"/>
  <c r="F127" i="27" s="1"/>
  <c r="J80" i="11"/>
  <c r="J84" i="11"/>
  <c r="J88" i="11"/>
  <c r="J92" i="11"/>
  <c r="K8" i="11"/>
  <c r="I97" i="11"/>
  <c r="I93" i="9"/>
  <c r="F104" i="27" s="1"/>
  <c r="I133" i="17"/>
  <c r="F135" i="27" s="1"/>
  <c r="K8" i="20"/>
  <c r="K11" i="18"/>
  <c r="I130" i="8"/>
  <c r="F54" i="27" s="1"/>
  <c r="I89" i="16"/>
  <c r="I147" i="22"/>
  <c r="F17" i="27" s="1"/>
  <c r="J71" i="15"/>
  <c r="J84" i="15"/>
  <c r="J85" i="15"/>
  <c r="J87" i="15"/>
  <c r="J82" i="15"/>
  <c r="J88" i="15" s="1"/>
  <c r="K11" i="15"/>
  <c r="H94" i="20"/>
  <c r="I118" i="19"/>
  <c r="F74" i="27" s="1"/>
  <c r="J102" i="22"/>
  <c r="J97" i="22"/>
  <c r="J110" i="22"/>
  <c r="J118" i="22"/>
  <c r="K8" i="22"/>
  <c r="K65" i="7"/>
  <c r="K68" i="7"/>
  <c r="K71" i="7"/>
  <c r="J89" i="8"/>
  <c r="J94" i="8"/>
  <c r="J100" i="8"/>
  <c r="K7" i="8"/>
  <c r="J81" i="11"/>
  <c r="J85" i="11"/>
  <c r="J89" i="11"/>
  <c r="J93" i="11"/>
  <c r="K7" i="11"/>
  <c r="I116" i="11"/>
  <c r="F125" i="27" s="1"/>
  <c r="I111" i="16"/>
  <c r="F38" i="27" s="1"/>
  <c r="J77" i="16"/>
  <c r="J80" i="16"/>
  <c r="J83" i="16"/>
  <c r="J74" i="16"/>
  <c r="K11" i="16"/>
  <c r="I134" i="8"/>
  <c r="F58" i="27" s="1"/>
  <c r="I98" i="11"/>
  <c r="I76" i="9"/>
  <c r="I74" i="9"/>
  <c r="I95" i="9"/>
  <c r="F106" i="27" s="1"/>
  <c r="J95" i="17"/>
  <c r="J90" i="17"/>
  <c r="J102" i="17"/>
  <c r="K8" i="17"/>
  <c r="K9" i="8"/>
  <c r="J91" i="8"/>
  <c r="J96" i="8"/>
  <c r="I84" i="10"/>
  <c r="F114" i="27" s="1"/>
  <c r="I115" i="17"/>
  <c r="J63" i="24"/>
  <c r="J71" i="24" s="1"/>
  <c r="J70" i="24"/>
  <c r="J65" i="24"/>
  <c r="J72" i="24" s="1"/>
  <c r="J67" i="24"/>
  <c r="K11" i="24"/>
  <c r="J87" i="8"/>
  <c r="J92" i="8"/>
  <c r="K5" i="8"/>
  <c r="G148" i="17"/>
  <c r="G145" i="17"/>
  <c r="G144" i="17"/>
  <c r="G146" i="17"/>
  <c r="G131" i="17"/>
  <c r="G147" i="17"/>
  <c r="J108" i="22"/>
  <c r="K5" i="22"/>
  <c r="I97" i="9"/>
  <c r="F108" i="27" s="1"/>
  <c r="K13" i="19"/>
  <c r="K12" i="20"/>
  <c r="J73" i="16"/>
  <c r="J76" i="16"/>
  <c r="J79" i="16"/>
  <c r="J82" i="16"/>
  <c r="K8" i="16"/>
  <c r="K85" i="16" s="1"/>
  <c r="K90" i="16" s="1"/>
  <c r="I87" i="16"/>
  <c r="I122" i="19"/>
  <c r="F78" i="27" s="1"/>
  <c r="I83" i="15"/>
  <c r="I89" i="15" s="1"/>
  <c r="I109" i="15"/>
  <c r="F48" i="27" s="1"/>
  <c r="J109" i="22"/>
  <c r="J101" i="22"/>
  <c r="J114" i="22"/>
  <c r="K12" i="22"/>
  <c r="J62" i="10"/>
  <c r="J60" i="10"/>
  <c r="J64" i="10"/>
  <c r="K8" i="10"/>
  <c r="K5" i="20"/>
  <c r="H77" i="9"/>
  <c r="I77" i="7"/>
  <c r="K94" i="7"/>
  <c r="J25" i="27" s="1"/>
  <c r="L25" i="27" s="1"/>
  <c r="J73" i="24" l="1"/>
  <c r="K101" i="8"/>
  <c r="K98" i="8"/>
  <c r="K104" i="8"/>
  <c r="K73" i="15"/>
  <c r="K84" i="15" s="1"/>
  <c r="K75" i="15"/>
  <c r="K77" i="15"/>
  <c r="K86" i="15" s="1"/>
  <c r="K79" i="15"/>
  <c r="K87" i="15" s="1"/>
  <c r="K72" i="15"/>
  <c r="K74" i="15"/>
  <c r="K76" i="15"/>
  <c r="K78" i="15"/>
  <c r="K80" i="15"/>
  <c r="K81" i="15"/>
  <c r="K68" i="23"/>
  <c r="K66" i="23"/>
  <c r="K64" i="23"/>
  <c r="K69" i="23"/>
  <c r="K106" i="17"/>
  <c r="K99" i="17"/>
  <c r="J75" i="7"/>
  <c r="J72" i="23"/>
  <c r="J107" i="16"/>
  <c r="H34" i="27" s="1"/>
  <c r="K84" i="16"/>
  <c r="K81" i="16"/>
  <c r="K78" i="16"/>
  <c r="K75" i="16"/>
  <c r="J91" i="24"/>
  <c r="H94" i="27" s="1"/>
  <c r="K69" i="24"/>
  <c r="K68" i="24"/>
  <c r="K66" i="24"/>
  <c r="K64" i="24"/>
  <c r="K97" i="28"/>
  <c r="J146" i="27" s="1"/>
  <c r="K79" i="28"/>
  <c r="J74" i="24"/>
  <c r="J75" i="24" s="1"/>
  <c r="J74" i="7"/>
  <c r="J77" i="7" s="1"/>
  <c r="J105" i="15"/>
  <c r="H44" i="27" s="1"/>
  <c r="J71" i="23"/>
  <c r="J91" i="23"/>
  <c r="H84" i="27" s="1"/>
  <c r="K72" i="7"/>
  <c r="K70" i="7"/>
  <c r="K67" i="7"/>
  <c r="J123" i="22"/>
  <c r="J110" i="8"/>
  <c r="J109" i="8"/>
  <c r="J108" i="8"/>
  <c r="J107" i="8"/>
  <c r="J75" i="23"/>
  <c r="J124" i="22"/>
  <c r="J122" i="22"/>
  <c r="I102" i="19"/>
  <c r="K115" i="22"/>
  <c r="K103" i="22"/>
  <c r="K119" i="22"/>
  <c r="K111" i="22"/>
  <c r="K98" i="22"/>
  <c r="I91" i="16"/>
  <c r="J145" i="22"/>
  <c r="H15" i="27" s="1"/>
  <c r="K116" i="22"/>
  <c r="K104" i="22"/>
  <c r="K99" i="22"/>
  <c r="K120" i="22"/>
  <c r="K112" i="22"/>
  <c r="J126" i="22"/>
  <c r="J125" i="22"/>
  <c r="J127" i="22"/>
  <c r="F65" i="27"/>
  <c r="D65" i="27"/>
  <c r="F68" i="27"/>
  <c r="D68" i="27"/>
  <c r="D64" i="27"/>
  <c r="F64" i="27"/>
  <c r="J78" i="18"/>
  <c r="J95" i="19"/>
  <c r="J102" i="19" s="1"/>
  <c r="J77" i="18"/>
  <c r="J93" i="20"/>
  <c r="J90" i="20"/>
  <c r="K92" i="19"/>
  <c r="K88" i="19"/>
  <c r="K84" i="19"/>
  <c r="K80" i="19"/>
  <c r="K90" i="19"/>
  <c r="K86" i="19"/>
  <c r="K82" i="19"/>
  <c r="K91" i="19"/>
  <c r="K87" i="19"/>
  <c r="K83" i="19"/>
  <c r="K79" i="19"/>
  <c r="K89" i="19"/>
  <c r="K85" i="19"/>
  <c r="K81" i="19"/>
  <c r="J97" i="19"/>
  <c r="K68" i="18"/>
  <c r="K71" i="18"/>
  <c r="J80" i="18"/>
  <c r="K70" i="18"/>
  <c r="K73" i="18"/>
  <c r="K75" i="18"/>
  <c r="K67" i="18"/>
  <c r="K69" i="18"/>
  <c r="K72" i="18"/>
  <c r="K74" i="18"/>
  <c r="K76" i="18"/>
  <c r="J79" i="18"/>
  <c r="J89" i="20"/>
  <c r="K86" i="20"/>
  <c r="K78" i="20"/>
  <c r="K80" i="20"/>
  <c r="K84" i="20"/>
  <c r="J87" i="20"/>
  <c r="K87" i="20"/>
  <c r="J86" i="20"/>
  <c r="K77" i="20"/>
  <c r="K88" i="20" s="1"/>
  <c r="K79" i="20"/>
  <c r="K81" i="20"/>
  <c r="K82" i="20"/>
  <c r="K91" i="20" s="1"/>
  <c r="K83" i="20"/>
  <c r="K92" i="20" s="1"/>
  <c r="K85" i="20"/>
  <c r="J115" i="17"/>
  <c r="J97" i="7"/>
  <c r="H28" i="27" s="1"/>
  <c r="J88" i="16"/>
  <c r="J133" i="8"/>
  <c r="H57" i="27" s="1"/>
  <c r="I68" i="10"/>
  <c r="J98" i="18"/>
  <c r="H65" i="27" s="1"/>
  <c r="I114" i="8"/>
  <c r="J66" i="10"/>
  <c r="J134" i="17"/>
  <c r="H136" i="27" s="1"/>
  <c r="J112" i="20"/>
  <c r="H6" i="27" s="1"/>
  <c r="J136" i="17"/>
  <c r="H138" i="27" s="1"/>
  <c r="J133" i="17"/>
  <c r="H135" i="27" s="1"/>
  <c r="J135" i="17"/>
  <c r="H137" i="27" s="1"/>
  <c r="J67" i="10"/>
  <c r="J95" i="24"/>
  <c r="H98" i="27" s="1"/>
  <c r="J95" i="23"/>
  <c r="H88" i="27" s="1"/>
  <c r="K92" i="17"/>
  <c r="K104" i="17"/>
  <c r="K97" i="17"/>
  <c r="J97" i="11"/>
  <c r="J87" i="16"/>
  <c r="K108" i="22"/>
  <c r="J144" i="22"/>
  <c r="H14" i="27" s="1"/>
  <c r="K87" i="8"/>
  <c r="K92" i="8"/>
  <c r="K91" i="8"/>
  <c r="K96" i="8"/>
  <c r="J117" i="11"/>
  <c r="H126" i="27" s="1"/>
  <c r="J74" i="9"/>
  <c r="J95" i="9"/>
  <c r="H106" i="27" s="1"/>
  <c r="J97" i="18"/>
  <c r="H64" i="27" s="1"/>
  <c r="I116" i="17"/>
  <c r="K60" i="10"/>
  <c r="K64" i="10"/>
  <c r="K62" i="10"/>
  <c r="J86" i="16"/>
  <c r="J109" i="16"/>
  <c r="H36" i="27" s="1"/>
  <c r="J89" i="16"/>
  <c r="J130" i="8"/>
  <c r="H54" i="27" s="1"/>
  <c r="I77" i="9"/>
  <c r="K85" i="11"/>
  <c r="K93" i="11"/>
  <c r="K81" i="11"/>
  <c r="K89" i="11"/>
  <c r="J116" i="11"/>
  <c r="H125" i="27" s="1"/>
  <c r="J131" i="8"/>
  <c r="H55" i="27" s="1"/>
  <c r="J111" i="20"/>
  <c r="H5" i="27" s="1"/>
  <c r="J113" i="17"/>
  <c r="K68" i="9"/>
  <c r="K71" i="9"/>
  <c r="K65" i="9"/>
  <c r="K66" i="7"/>
  <c r="K74" i="7" s="1"/>
  <c r="K69" i="7"/>
  <c r="K73" i="7"/>
  <c r="K82" i="11"/>
  <c r="K86" i="11"/>
  <c r="K90" i="11"/>
  <c r="K94" i="11"/>
  <c r="J147" i="22"/>
  <c r="H17" i="27" s="1"/>
  <c r="K67" i="9"/>
  <c r="K70" i="9"/>
  <c r="K73" i="9"/>
  <c r="K59" i="10"/>
  <c r="K63" i="10"/>
  <c r="K61" i="10"/>
  <c r="J114" i="20"/>
  <c r="H8" i="27" s="1"/>
  <c r="J98" i="11"/>
  <c r="J65" i="10"/>
  <c r="J86" i="10"/>
  <c r="H116" i="27" s="1"/>
  <c r="K101" i="22"/>
  <c r="K114" i="22"/>
  <c r="K109" i="22"/>
  <c r="K63" i="24"/>
  <c r="K71" i="24" s="1"/>
  <c r="K65" i="24"/>
  <c r="K67" i="24"/>
  <c r="K73" i="24" s="1"/>
  <c r="K70" i="24"/>
  <c r="K74" i="24" s="1"/>
  <c r="K74" i="16"/>
  <c r="K77" i="16"/>
  <c r="K80" i="16"/>
  <c r="K83" i="16"/>
  <c r="K100" i="8"/>
  <c r="K94" i="8"/>
  <c r="K89" i="8"/>
  <c r="K97" i="22"/>
  <c r="M96" i="22" s="1"/>
  <c r="K110" i="22"/>
  <c r="K118" i="22"/>
  <c r="K102" i="22"/>
  <c r="K71" i="15"/>
  <c r="K85" i="15"/>
  <c r="K82" i="15"/>
  <c r="K88" i="15" s="1"/>
  <c r="I128" i="22"/>
  <c r="J110" i="17"/>
  <c r="J132" i="17"/>
  <c r="H134" i="27" s="1"/>
  <c r="J75" i="9"/>
  <c r="I99" i="11"/>
  <c r="K74" i="23"/>
  <c r="K63" i="23"/>
  <c r="K67" i="23"/>
  <c r="K65" i="23"/>
  <c r="K72" i="23" s="1"/>
  <c r="K106" i="8"/>
  <c r="K113" i="8" s="1"/>
  <c r="K93" i="8"/>
  <c r="K103" i="8"/>
  <c r="K111" i="8" s="1"/>
  <c r="K88" i="8"/>
  <c r="K97" i="8"/>
  <c r="K105" i="22"/>
  <c r="K100" i="22"/>
  <c r="K113" i="22"/>
  <c r="K121" i="22"/>
  <c r="K117" i="22"/>
  <c r="K119" i="19"/>
  <c r="J75" i="27" s="1"/>
  <c r="L75" i="27" s="1"/>
  <c r="J110" i="20"/>
  <c r="H4" i="27" s="1"/>
  <c r="J148" i="22"/>
  <c r="H18" i="27" s="1"/>
  <c r="J111" i="16"/>
  <c r="H38" i="27" s="1"/>
  <c r="J146" i="22"/>
  <c r="H16" i="27" s="1"/>
  <c r="K80" i="11"/>
  <c r="K88" i="11"/>
  <c r="K84" i="11"/>
  <c r="K92" i="11"/>
  <c r="K96" i="17"/>
  <c r="K91" i="17"/>
  <c r="K103" i="17"/>
  <c r="J93" i="9"/>
  <c r="H104" i="27" s="1"/>
  <c r="K95" i="8"/>
  <c r="K90" i="8"/>
  <c r="K99" i="8"/>
  <c r="K105" i="8"/>
  <c r="K102" i="8"/>
  <c r="J118" i="19"/>
  <c r="H74" i="27" s="1"/>
  <c r="J96" i="11"/>
  <c r="K73" i="16"/>
  <c r="K76" i="16"/>
  <c r="K79" i="16"/>
  <c r="K82" i="16"/>
  <c r="K95" i="17"/>
  <c r="K90" i="17"/>
  <c r="K102" i="17"/>
  <c r="J83" i="15"/>
  <c r="J89" i="15" s="1"/>
  <c r="J109" i="15"/>
  <c r="H48" i="27" s="1"/>
  <c r="K72" i="9"/>
  <c r="K66" i="9"/>
  <c r="K69" i="9"/>
  <c r="K105" i="17"/>
  <c r="K100" i="17"/>
  <c r="K112" i="17" s="1"/>
  <c r="K109" i="17"/>
  <c r="K107" i="17"/>
  <c r="K114" i="17" s="1"/>
  <c r="K98" i="17"/>
  <c r="K93" i="17"/>
  <c r="I94" i="20"/>
  <c r="J101" i="18"/>
  <c r="H68" i="27" s="1"/>
  <c r="K101" i="17"/>
  <c r="K94" i="17"/>
  <c r="K89" i="17"/>
  <c r="K108" i="17"/>
  <c r="J111" i="17"/>
  <c r="I81" i="18"/>
  <c r="J76" i="9"/>
  <c r="J134" i="8"/>
  <c r="H58" i="27" s="1"/>
  <c r="J118" i="11"/>
  <c r="H127" i="27" s="1"/>
  <c r="J122" i="19"/>
  <c r="H78" i="27" s="1"/>
  <c r="J97" i="9"/>
  <c r="H108" i="27" s="1"/>
  <c r="J84" i="10"/>
  <c r="H114" i="27" s="1"/>
  <c r="K79" i="11"/>
  <c r="K83" i="11"/>
  <c r="K87" i="11"/>
  <c r="K91" i="11"/>
  <c r="J95" i="11"/>
  <c r="J115" i="11"/>
  <c r="H124" i="27" s="1"/>
  <c r="K107" i="16" l="1"/>
  <c r="J34" i="27" s="1"/>
  <c r="L34" i="27" s="1"/>
  <c r="K112" i="8"/>
  <c r="K72" i="24"/>
  <c r="K76" i="7"/>
  <c r="K77" i="7" s="1"/>
  <c r="K93" i="7"/>
  <c r="J24" i="27" s="1"/>
  <c r="L24" i="27" s="1"/>
  <c r="K71" i="23"/>
  <c r="K91" i="23"/>
  <c r="J84" i="27" s="1"/>
  <c r="L84" i="27" s="1"/>
  <c r="K105" i="15"/>
  <c r="J44" i="27" s="1"/>
  <c r="L44" i="27" s="1"/>
  <c r="K73" i="23"/>
  <c r="K75" i="23" s="1"/>
  <c r="K75" i="7"/>
  <c r="K91" i="24"/>
  <c r="J94" i="27" s="1"/>
  <c r="L94" i="27" s="1"/>
  <c r="K145" i="22"/>
  <c r="J15" i="27" s="1"/>
  <c r="L15" i="27" s="1"/>
  <c r="K109" i="8"/>
  <c r="K110" i="8"/>
  <c r="K108" i="8"/>
  <c r="K107" i="8"/>
  <c r="K75" i="24"/>
  <c r="K125" i="22"/>
  <c r="J91" i="16"/>
  <c r="K127" i="22"/>
  <c r="K122" i="22"/>
  <c r="K124" i="22"/>
  <c r="K126" i="22"/>
  <c r="K123" i="22"/>
  <c r="K98" i="18"/>
  <c r="J65" i="27" s="1"/>
  <c r="L65" i="27" s="1"/>
  <c r="K95" i="19"/>
  <c r="K96" i="19"/>
  <c r="K80" i="18"/>
  <c r="K89" i="20"/>
  <c r="K99" i="19"/>
  <c r="K100" i="19"/>
  <c r="K94" i="19"/>
  <c r="K97" i="19"/>
  <c r="K98" i="19"/>
  <c r="K78" i="18"/>
  <c r="K77" i="18"/>
  <c r="K79" i="18"/>
  <c r="K93" i="20"/>
  <c r="K90" i="20"/>
  <c r="K115" i="17"/>
  <c r="K67" i="10"/>
  <c r="K144" i="22"/>
  <c r="J14" i="27" s="1"/>
  <c r="L14" i="27" s="1"/>
  <c r="K97" i="7"/>
  <c r="J28" i="27" s="1"/>
  <c r="L28" i="27" s="1"/>
  <c r="K76" i="9"/>
  <c r="K133" i="8"/>
  <c r="J57" i="27" s="1"/>
  <c r="L57" i="27" s="1"/>
  <c r="K96" i="11"/>
  <c r="K122" i="19"/>
  <c r="J78" i="27" s="1"/>
  <c r="L78" i="27" s="1"/>
  <c r="K111" i="17"/>
  <c r="K136" i="17"/>
  <c r="J138" i="27" s="1"/>
  <c r="L138" i="27" s="1"/>
  <c r="K134" i="17"/>
  <c r="J136" i="27" s="1"/>
  <c r="L136" i="27" s="1"/>
  <c r="K88" i="16"/>
  <c r="K146" i="22"/>
  <c r="J16" i="27" s="1"/>
  <c r="L16" i="27" s="1"/>
  <c r="J68" i="10"/>
  <c r="K97" i="9"/>
  <c r="J108" i="27" s="1"/>
  <c r="L108" i="27" s="1"/>
  <c r="K118" i="11"/>
  <c r="J127" i="27" s="1"/>
  <c r="L127" i="27" s="1"/>
  <c r="J81" i="18"/>
  <c r="K113" i="17"/>
  <c r="K110" i="20"/>
  <c r="J4" i="27" s="1"/>
  <c r="L4" i="27" s="1"/>
  <c r="J94" i="20"/>
  <c r="K95" i="24"/>
  <c r="J98" i="27" s="1"/>
  <c r="L98" i="27" s="1"/>
  <c r="K65" i="10"/>
  <c r="K84" i="10"/>
  <c r="J114" i="27" s="1"/>
  <c r="L114" i="27" s="1"/>
  <c r="K118" i="19"/>
  <c r="J74" i="27" s="1"/>
  <c r="L74" i="27" s="1"/>
  <c r="K98" i="11"/>
  <c r="K111" i="20"/>
  <c r="J5" i="27" s="1"/>
  <c r="L5" i="27" s="1"/>
  <c r="K95" i="9"/>
  <c r="J106" i="27" s="1"/>
  <c r="L106" i="27" s="1"/>
  <c r="K86" i="16"/>
  <c r="K109" i="16"/>
  <c r="J36" i="27" s="1"/>
  <c r="L36" i="27" s="1"/>
  <c r="K117" i="11"/>
  <c r="J126" i="27" s="1"/>
  <c r="L126" i="27" s="1"/>
  <c r="J128" i="22"/>
  <c r="K97" i="11"/>
  <c r="K110" i="17"/>
  <c r="K132" i="17"/>
  <c r="J134" i="27" s="1"/>
  <c r="L134" i="27" s="1"/>
  <c r="K97" i="18"/>
  <c r="J64" i="27" s="1"/>
  <c r="L64" i="27" s="1"/>
  <c r="K89" i="16"/>
  <c r="K134" i="8"/>
  <c r="J58" i="27" s="1"/>
  <c r="L58" i="27" s="1"/>
  <c r="K133" i="17"/>
  <c r="J135" i="27" s="1"/>
  <c r="L135" i="27" s="1"/>
  <c r="K147" i="22"/>
  <c r="J17" i="27" s="1"/>
  <c r="L17" i="27" s="1"/>
  <c r="J116" i="17"/>
  <c r="K131" i="8"/>
  <c r="J55" i="27" s="1"/>
  <c r="L55" i="27" s="1"/>
  <c r="K66" i="10"/>
  <c r="J77" i="9"/>
  <c r="K74" i="9"/>
  <c r="K93" i="9"/>
  <c r="J104" i="27" s="1"/>
  <c r="L104" i="27" s="1"/>
  <c r="K101" i="18"/>
  <c r="J68" i="27" s="1"/>
  <c r="L68" i="27" s="1"/>
  <c r="J99" i="11"/>
  <c r="K95" i="11"/>
  <c r="K115" i="11"/>
  <c r="J124" i="27" s="1"/>
  <c r="L124" i="27" s="1"/>
  <c r="K112" i="20"/>
  <c r="J6" i="27" s="1"/>
  <c r="K87" i="16"/>
  <c r="K111" i="16"/>
  <c r="J38" i="27" s="1"/>
  <c r="L38" i="27" s="1"/>
  <c r="K116" i="11"/>
  <c r="J125" i="27" s="1"/>
  <c r="L125" i="27" s="1"/>
  <c r="K135" i="17"/>
  <c r="J137" i="27" s="1"/>
  <c r="L137" i="27" s="1"/>
  <c r="K95" i="23"/>
  <c r="J88" i="27" s="1"/>
  <c r="L88" i="27" s="1"/>
  <c r="K83" i="15"/>
  <c r="K89" i="15" s="1"/>
  <c r="K109" i="15"/>
  <c r="J48" i="27" s="1"/>
  <c r="L48" i="27" s="1"/>
  <c r="K148" i="22"/>
  <c r="J18" i="27" s="1"/>
  <c r="L18" i="27" s="1"/>
  <c r="K75" i="9"/>
  <c r="J114" i="8"/>
  <c r="K114" i="20"/>
  <c r="J8" i="27" s="1"/>
  <c r="L8" i="27" s="1"/>
  <c r="K86" i="10"/>
  <c r="J116" i="27" s="1"/>
  <c r="L116" i="27" s="1"/>
  <c r="K130" i="8"/>
  <c r="J54" i="27" s="1"/>
  <c r="L54" i="27" s="1"/>
  <c r="L6" i="27" l="1"/>
  <c r="K102" i="19"/>
  <c r="K91" i="16"/>
  <c r="K114" i="8"/>
  <c r="K81" i="18"/>
  <c r="K116" i="17"/>
  <c r="K94" i="20"/>
  <c r="K99" i="11"/>
  <c r="K77" i="9"/>
  <c r="K68" i="10"/>
  <c r="K128" i="22"/>
  <c r="H83" i="18" l="1"/>
  <c r="H102" i="18" s="1"/>
  <c r="H104" i="18" s="1"/>
  <c r="I83" i="18"/>
  <c r="I87" i="18" s="1"/>
  <c r="I95" i="18" s="1"/>
  <c r="F63" i="27" s="1"/>
  <c r="J83" i="18"/>
  <c r="J87" i="18" s="1"/>
  <c r="J95" i="18" s="1"/>
  <c r="H63" i="27" s="1"/>
  <c r="K83" i="18"/>
  <c r="K102" i="18" s="1"/>
  <c r="K104" i="18" l="1"/>
  <c r="J71" i="27" s="1"/>
  <c r="J69" i="27"/>
  <c r="I102" i="18"/>
  <c r="J102" i="18"/>
  <c r="H69" i="27" s="1"/>
  <c r="K87" i="18"/>
  <c r="K95" i="18" s="1"/>
  <c r="J109" i="18"/>
  <c r="J113" i="18"/>
  <c r="J111" i="18"/>
  <c r="J112" i="18"/>
  <c r="J110" i="18"/>
  <c r="I112" i="18"/>
  <c r="I110" i="18"/>
  <c r="I109" i="18"/>
  <c r="I111" i="18"/>
  <c r="I113" i="18"/>
  <c r="H87" i="18"/>
  <c r="H95" i="18" s="1"/>
  <c r="D63" i="27" s="1"/>
  <c r="I104" i="18" l="1"/>
  <c r="F69" i="27"/>
  <c r="D69" i="27"/>
  <c r="K109" i="18"/>
  <c r="J63" i="27"/>
  <c r="L63" i="27" s="1"/>
  <c r="K110" i="18"/>
  <c r="J104" i="18"/>
  <c r="H71" i="27" s="1"/>
  <c r="K113" i="18"/>
  <c r="K111" i="18"/>
  <c r="K112" i="18"/>
  <c r="H109" i="18"/>
  <c r="H110" i="18"/>
  <c r="H111" i="18"/>
  <c r="H112" i="18"/>
  <c r="H113" i="18"/>
  <c r="H96" i="18"/>
  <c r="I96" i="18" s="1"/>
  <c r="J96" i="18" s="1"/>
  <c r="K96" i="18" s="1"/>
  <c r="H123" i="19"/>
  <c r="D79" i="27" s="1"/>
  <c r="I123" i="19"/>
  <c r="F79" i="27" s="1"/>
  <c r="J123" i="19"/>
  <c r="H79" i="27" s="1"/>
  <c r="K123" i="19"/>
  <c r="H108" i="19"/>
  <c r="H116" i="19" s="1"/>
  <c r="D73" i="27" s="1"/>
  <c r="I108" i="19"/>
  <c r="I116" i="19" s="1"/>
  <c r="J108" i="19"/>
  <c r="J116" i="19" s="1"/>
  <c r="H73" i="27" s="1"/>
  <c r="I131" i="19" l="1"/>
  <c r="F73" i="27"/>
  <c r="L69" i="27"/>
  <c r="F71" i="27"/>
  <c r="D71" i="27"/>
  <c r="K125" i="19"/>
  <c r="J81" i="27" s="1"/>
  <c r="J79" i="27"/>
  <c r="L79" i="27" s="1"/>
  <c r="I132" i="19"/>
  <c r="J125" i="19"/>
  <c r="H81" i="27" s="1"/>
  <c r="I125" i="19"/>
  <c r="F81" i="27" s="1"/>
  <c r="H125" i="19"/>
  <c r="D81" i="27" s="1"/>
  <c r="H130" i="19"/>
  <c r="H117" i="19"/>
  <c r="I117" i="19" s="1"/>
  <c r="J117" i="19" s="1"/>
  <c r="H131" i="19"/>
  <c r="H132" i="19"/>
  <c r="I134" i="19"/>
  <c r="I133" i="19"/>
  <c r="I130" i="19"/>
  <c r="K108" i="19"/>
  <c r="K116" i="19" s="1"/>
  <c r="J130" i="19"/>
  <c r="J134" i="19"/>
  <c r="J133" i="19"/>
  <c r="J132" i="19"/>
  <c r="J131" i="19"/>
  <c r="H133" i="19"/>
  <c r="H134" i="19"/>
  <c r="L71" i="27" l="1"/>
  <c r="K132" i="19"/>
  <c r="J73" i="27"/>
  <c r="L73" i="27" s="1"/>
  <c r="L81" i="27"/>
  <c r="K133" i="19"/>
  <c r="K134" i="19"/>
  <c r="K130" i="19"/>
  <c r="K131" i="19"/>
  <c r="K117" i="19"/>
  <c r="G108" i="20"/>
  <c r="B3" i="27" s="1"/>
  <c r="B153" i="27" s="1"/>
  <c r="G109" i="20" l="1"/>
  <c r="G123" i="20"/>
  <c r="G122" i="20"/>
  <c r="G126" i="20"/>
  <c r="G125" i="20"/>
  <c r="G124" i="20"/>
  <c r="H130" i="22" l="1"/>
  <c r="H149" i="22" s="1"/>
  <c r="D19" i="27" s="1"/>
  <c r="I130" i="22"/>
  <c r="I149" i="22" s="1"/>
  <c r="F19" i="27" s="1"/>
  <c r="J130" i="22"/>
  <c r="J149" i="22" s="1"/>
  <c r="K130" i="22"/>
  <c r="K149" i="22" s="1"/>
  <c r="J19" i="27" s="1"/>
  <c r="H134" i="22" l="1"/>
  <c r="H142" i="22" s="1"/>
  <c r="H160" i="22" s="1"/>
  <c r="K134" i="22"/>
  <c r="K142" i="22" s="1"/>
  <c r="K160" i="22" s="1"/>
  <c r="J134" i="22"/>
  <c r="J142" i="22" s="1"/>
  <c r="J158" i="22" s="1"/>
  <c r="I134" i="22"/>
  <c r="I142" i="22" s="1"/>
  <c r="I160" i="22" s="1"/>
  <c r="J151" i="22"/>
  <c r="H21" i="27" s="1"/>
  <c r="H19" i="27"/>
  <c r="L19" i="27" s="1"/>
  <c r="I151" i="22"/>
  <c r="F21" i="27" s="1"/>
  <c r="K151" i="22"/>
  <c r="J21" i="27" s="1"/>
  <c r="H151" i="22"/>
  <c r="D21" i="27" s="1"/>
  <c r="H96" i="20"/>
  <c r="H115" i="20" s="1"/>
  <c r="I96" i="20"/>
  <c r="I115" i="20" s="1"/>
  <c r="F9" i="27" s="1"/>
  <c r="J96" i="20"/>
  <c r="J100" i="20" s="1"/>
  <c r="J108" i="20" s="1"/>
  <c r="H3" i="27" s="1"/>
  <c r="K96" i="20"/>
  <c r="K100" i="20" s="1"/>
  <c r="K108" i="20" s="1"/>
  <c r="J3" i="27" s="1"/>
  <c r="J115" i="20" l="1"/>
  <c r="H9" i="27" s="1"/>
  <c r="H158" i="22"/>
  <c r="K157" i="22"/>
  <c r="H157" i="22"/>
  <c r="H159" i="22"/>
  <c r="I156" i="22"/>
  <c r="H143" i="22"/>
  <c r="I143" i="22" s="1"/>
  <c r="J143" i="22" s="1"/>
  <c r="K143" i="22" s="1"/>
  <c r="K158" i="22"/>
  <c r="J157" i="22"/>
  <c r="K159" i="22"/>
  <c r="H156" i="22"/>
  <c r="D13" i="27"/>
  <c r="J13" i="27"/>
  <c r="J159" i="22"/>
  <c r="J160" i="22"/>
  <c r="H13" i="27"/>
  <c r="J156" i="22"/>
  <c r="I158" i="22"/>
  <c r="I157" i="22"/>
  <c r="F13" i="27"/>
  <c r="K156" i="22"/>
  <c r="I159" i="22"/>
  <c r="H117" i="20"/>
  <c r="D11" i="27" s="1"/>
  <c r="D9" i="27"/>
  <c r="L21" i="27"/>
  <c r="I100" i="20"/>
  <c r="I108" i="20" s="1"/>
  <c r="I117" i="20"/>
  <c r="F11" i="27" s="1"/>
  <c r="K122" i="20"/>
  <c r="K126" i="20"/>
  <c r="K125" i="20"/>
  <c r="K123" i="20"/>
  <c r="K124" i="20"/>
  <c r="J125" i="20"/>
  <c r="J124" i="20"/>
  <c r="J122" i="20"/>
  <c r="J126" i="20"/>
  <c r="J123" i="20"/>
  <c r="K115" i="20"/>
  <c r="H100" i="20"/>
  <c r="H108" i="20" s="1"/>
  <c r="D3" i="27" s="1"/>
  <c r="J117" i="20" l="1"/>
  <c r="H11" i="27" s="1"/>
  <c r="L13" i="27"/>
  <c r="K117" i="20"/>
  <c r="J11" i="27" s="1"/>
  <c r="J9" i="27"/>
  <c r="L9" i="27" s="1"/>
  <c r="I124" i="20"/>
  <c r="F3" i="27"/>
  <c r="L3" i="27" s="1"/>
  <c r="I122" i="20"/>
  <c r="I123" i="20"/>
  <c r="I125" i="20"/>
  <c r="I126" i="20"/>
  <c r="H122" i="20"/>
  <c r="H123" i="20"/>
  <c r="H124" i="20"/>
  <c r="H125" i="20"/>
  <c r="H109" i="20"/>
  <c r="I109" i="20" s="1"/>
  <c r="J109" i="20" s="1"/>
  <c r="K109" i="20" s="1"/>
  <c r="H126" i="20"/>
  <c r="H89" i="10"/>
  <c r="D119" i="27" s="1"/>
  <c r="I89" i="10"/>
  <c r="J89" i="10"/>
  <c r="K89" i="10"/>
  <c r="L11" i="27" l="1"/>
  <c r="K91" i="10"/>
  <c r="J121" i="27" s="1"/>
  <c r="J119" i="27"/>
  <c r="J91" i="10"/>
  <c r="H121" i="27" s="1"/>
  <c r="H119" i="27"/>
  <c r="I91" i="10"/>
  <c r="F121" i="27" s="1"/>
  <c r="F119" i="27"/>
  <c r="H91" i="10"/>
  <c r="D121" i="27" s="1"/>
  <c r="E21" i="27"/>
  <c r="E113" i="27"/>
  <c r="G113" i="27"/>
  <c r="I113" i="27"/>
  <c r="K113" i="27"/>
  <c r="I73" i="27"/>
  <c r="K73" i="27"/>
  <c r="E73" i="27"/>
  <c r="G73" i="27"/>
  <c r="G153" i="27" l="1"/>
  <c r="E153" i="27"/>
  <c r="K153" i="27"/>
  <c r="I153" i="27"/>
  <c r="L119" i="27"/>
  <c r="L121" i="27"/>
  <c r="L146" i="27" l="1"/>
  <c r="L147" i="27"/>
  <c r="L148" i="27"/>
  <c r="L150" i="27"/>
  <c r="J81" i="28"/>
  <c r="I81" i="28"/>
  <c r="I85" i="28" s="1"/>
  <c r="I93" i="28" s="1"/>
  <c r="H81" i="28"/>
  <c r="K81" i="28"/>
  <c r="K85" i="28" s="1"/>
  <c r="K93" i="28" s="1"/>
  <c r="K100" i="28"/>
  <c r="I100" i="28" l="1"/>
  <c r="I102" i="28" s="1"/>
  <c r="F151" i="27" s="1"/>
  <c r="J143" i="27"/>
  <c r="K107" i="28"/>
  <c r="K109" i="28"/>
  <c r="K110" i="28"/>
  <c r="K111" i="28"/>
  <c r="K108" i="28"/>
  <c r="J100" i="28"/>
  <c r="H149" i="27" s="1"/>
  <c r="J85" i="28"/>
  <c r="J93" i="28" s="1"/>
  <c r="I110" i="28"/>
  <c r="I107" i="28"/>
  <c r="I109" i="28"/>
  <c r="I108" i="28"/>
  <c r="I111" i="28"/>
  <c r="F143" i="27"/>
  <c r="H100" i="28"/>
  <c r="H102" i="28" s="1"/>
  <c r="H85" i="28"/>
  <c r="H93" i="28" s="1"/>
  <c r="J149" i="27"/>
  <c r="K102" i="28"/>
  <c r="F149" i="27" l="1"/>
  <c r="J102" i="28"/>
  <c r="H151" i="27" s="1"/>
  <c r="J151" i="27"/>
  <c r="J109" i="28"/>
  <c r="J108" i="28"/>
  <c r="J110" i="28"/>
  <c r="H143" i="27"/>
  <c r="J107" i="28"/>
  <c r="J111" i="28"/>
  <c r="D149" i="27"/>
  <c r="D151" i="27"/>
  <c r="D143" i="27"/>
  <c r="H110" i="28"/>
  <c r="H107" i="28"/>
  <c r="H111" i="28"/>
  <c r="H109" i="28"/>
  <c r="H108" i="28"/>
  <c r="H94" i="28"/>
  <c r="I94" i="28" s="1"/>
  <c r="J94" i="28" s="1"/>
  <c r="K94" i="28" s="1"/>
  <c r="L151" i="27" l="1"/>
  <c r="L149" i="27"/>
  <c r="L143" i="27"/>
  <c r="H42" i="24"/>
  <c r="I42" i="24"/>
  <c r="J42" i="24"/>
  <c r="K42" i="24"/>
  <c r="H77" i="24"/>
  <c r="I77" i="24"/>
  <c r="J77" i="24"/>
  <c r="K77" i="24"/>
  <c r="H81" i="24"/>
  <c r="I81" i="24"/>
  <c r="J81" i="24"/>
  <c r="K81" i="24"/>
  <c r="H89" i="24"/>
  <c r="I89" i="24"/>
  <c r="J89" i="24"/>
  <c r="K89" i="24"/>
  <c r="H90" i="24"/>
  <c r="I90" i="24"/>
  <c r="J90" i="24"/>
  <c r="K90" i="24"/>
  <c r="H96" i="24"/>
  <c r="I96" i="24"/>
  <c r="J96" i="24"/>
  <c r="K96" i="24"/>
  <c r="H98" i="24"/>
  <c r="I98" i="24"/>
  <c r="J98" i="24"/>
  <c r="K98" i="24"/>
  <c r="H103" i="24"/>
  <c r="I103" i="24"/>
  <c r="J103" i="24"/>
  <c r="K103" i="24"/>
  <c r="H104" i="24"/>
  <c r="I104" i="24"/>
  <c r="J104" i="24"/>
  <c r="K104" i="24"/>
  <c r="H105" i="24"/>
  <c r="I105" i="24"/>
  <c r="J105" i="24"/>
  <c r="K105" i="24"/>
  <c r="H106" i="24"/>
  <c r="I106" i="24"/>
  <c r="J106" i="24"/>
  <c r="K106" i="24"/>
  <c r="H107" i="24"/>
  <c r="I107" i="24"/>
  <c r="J107" i="24"/>
  <c r="K107" i="24"/>
  <c r="H42" i="9"/>
  <c r="I42" i="9"/>
  <c r="J42" i="9"/>
  <c r="K42" i="9"/>
  <c r="I44" i="9"/>
  <c r="J44" i="9"/>
  <c r="K44" i="9"/>
  <c r="H46" i="9"/>
  <c r="I46" i="9"/>
  <c r="J46" i="9"/>
  <c r="K46" i="9"/>
  <c r="H79" i="9"/>
  <c r="I79" i="9"/>
  <c r="J79" i="9"/>
  <c r="K79" i="9"/>
  <c r="H83" i="9"/>
  <c r="I83" i="9"/>
  <c r="J83" i="9"/>
  <c r="K83" i="9"/>
  <c r="H91" i="9"/>
  <c r="I91" i="9"/>
  <c r="J91" i="9"/>
  <c r="K91" i="9"/>
  <c r="H92" i="9"/>
  <c r="I92" i="9"/>
  <c r="J92" i="9"/>
  <c r="K92" i="9"/>
  <c r="H98" i="9"/>
  <c r="I98" i="9"/>
  <c r="J98" i="9"/>
  <c r="K98" i="9"/>
  <c r="H100" i="9"/>
  <c r="I100" i="9"/>
  <c r="J100" i="9"/>
  <c r="K100" i="9"/>
  <c r="H105" i="9"/>
  <c r="I105" i="9"/>
  <c r="J105" i="9"/>
  <c r="K105" i="9"/>
  <c r="H106" i="9"/>
  <c r="I106" i="9"/>
  <c r="J106" i="9"/>
  <c r="K106" i="9"/>
  <c r="H107" i="9"/>
  <c r="I107" i="9"/>
  <c r="J107" i="9"/>
  <c r="K107" i="9"/>
  <c r="H108" i="9"/>
  <c r="I108" i="9"/>
  <c r="J108" i="9"/>
  <c r="K108" i="9"/>
  <c r="H109" i="9"/>
  <c r="I109" i="9"/>
  <c r="J109" i="9"/>
  <c r="K109" i="9"/>
  <c r="H42" i="10"/>
  <c r="I42" i="10"/>
  <c r="J42" i="10"/>
  <c r="K42" i="10"/>
  <c r="I44" i="10"/>
  <c r="J44" i="10"/>
  <c r="K44" i="10"/>
  <c r="H46" i="10"/>
  <c r="I46" i="10"/>
  <c r="J46" i="10"/>
  <c r="K46" i="10"/>
  <c r="H70" i="10"/>
  <c r="I70" i="10"/>
  <c r="J70" i="10"/>
  <c r="K70" i="10"/>
  <c r="H74" i="10"/>
  <c r="I74" i="10"/>
  <c r="J74" i="10"/>
  <c r="K74" i="10"/>
  <c r="H82" i="10"/>
  <c r="I82" i="10"/>
  <c r="J82" i="10"/>
  <c r="K82" i="10"/>
  <c r="H83" i="10"/>
  <c r="I83" i="10"/>
  <c r="J83" i="10"/>
  <c r="K83" i="10"/>
  <c r="H96" i="10"/>
  <c r="I96" i="10"/>
  <c r="J96" i="10"/>
  <c r="K96" i="10"/>
  <c r="H97" i="10"/>
  <c r="I97" i="10"/>
  <c r="J97" i="10"/>
  <c r="K97" i="10"/>
  <c r="H98" i="10"/>
  <c r="I98" i="10"/>
  <c r="J98" i="10"/>
  <c r="K98" i="10"/>
  <c r="H99" i="10"/>
  <c r="I99" i="10"/>
  <c r="J99" i="10"/>
  <c r="K99" i="10"/>
  <c r="H100" i="10"/>
  <c r="I100" i="10"/>
  <c r="J100" i="10"/>
  <c r="K100" i="10"/>
  <c r="H42" i="11"/>
  <c r="I42" i="11"/>
  <c r="J42" i="11"/>
  <c r="K42" i="11"/>
  <c r="H101" i="11"/>
  <c r="I101" i="11"/>
  <c r="J101" i="11"/>
  <c r="K101" i="11"/>
  <c r="H105" i="11"/>
  <c r="I105" i="11"/>
  <c r="J105" i="11"/>
  <c r="K105" i="11"/>
  <c r="H113" i="11"/>
  <c r="I113" i="11"/>
  <c r="J113" i="11"/>
  <c r="K113" i="11"/>
  <c r="H114" i="11"/>
  <c r="I114" i="11"/>
  <c r="J114" i="11"/>
  <c r="K114" i="11"/>
  <c r="H120" i="11"/>
  <c r="I120" i="11"/>
  <c r="J120" i="11"/>
  <c r="K120" i="11"/>
  <c r="H122" i="11"/>
  <c r="I122" i="11"/>
  <c r="J122" i="11"/>
  <c r="K122" i="11"/>
  <c r="H127" i="11"/>
  <c r="I127" i="11"/>
  <c r="J127" i="11"/>
  <c r="K127" i="11"/>
  <c r="H128" i="11"/>
  <c r="I128" i="11"/>
  <c r="J128" i="11"/>
  <c r="K128" i="11"/>
  <c r="H129" i="11"/>
  <c r="I129" i="11"/>
  <c r="J129" i="11"/>
  <c r="K129" i="11"/>
  <c r="H130" i="11"/>
  <c r="I130" i="11"/>
  <c r="J130" i="11"/>
  <c r="K130" i="11"/>
  <c r="H131" i="11"/>
  <c r="I131" i="11"/>
  <c r="J131" i="11"/>
  <c r="K131" i="11"/>
  <c r="H42" i="17"/>
  <c r="I42" i="17"/>
  <c r="J42" i="17"/>
  <c r="K42" i="17"/>
  <c r="H46" i="17"/>
  <c r="I46" i="17"/>
  <c r="J46" i="17"/>
  <c r="K46" i="17"/>
  <c r="H118" i="17"/>
  <c r="I118" i="17"/>
  <c r="J118" i="17"/>
  <c r="K118" i="17"/>
  <c r="H122" i="17"/>
  <c r="I122" i="17"/>
  <c r="J122" i="17"/>
  <c r="K122" i="17"/>
  <c r="H130" i="17"/>
  <c r="I130" i="17"/>
  <c r="J130" i="17"/>
  <c r="K130" i="17"/>
  <c r="H131" i="17"/>
  <c r="I131" i="17"/>
  <c r="J131" i="17"/>
  <c r="K131" i="17"/>
  <c r="H137" i="17"/>
  <c r="I137" i="17"/>
  <c r="J137" i="17"/>
  <c r="K137" i="17"/>
  <c r="H139" i="17"/>
  <c r="I139" i="17"/>
  <c r="J139" i="17"/>
  <c r="K139" i="17"/>
  <c r="H144" i="17"/>
  <c r="I144" i="17"/>
  <c r="J144" i="17"/>
  <c r="K144" i="17"/>
  <c r="H145" i="17"/>
  <c r="I145" i="17"/>
  <c r="J145" i="17"/>
  <c r="K145" i="17"/>
  <c r="H146" i="17"/>
  <c r="I146" i="17"/>
  <c r="J146" i="17"/>
  <c r="K146" i="17"/>
  <c r="H147" i="17"/>
  <c r="I147" i="17"/>
  <c r="J147" i="17"/>
  <c r="K147" i="17"/>
  <c r="H148" i="17"/>
  <c r="I148" i="17"/>
  <c r="J148" i="17"/>
  <c r="K148" i="17"/>
  <c r="H42" i="7"/>
  <c r="I42" i="7"/>
  <c r="J42" i="7"/>
  <c r="K42" i="7"/>
  <c r="H79" i="7"/>
  <c r="I79" i="7"/>
  <c r="J79" i="7"/>
  <c r="K79" i="7"/>
  <c r="H83" i="7"/>
  <c r="I83" i="7"/>
  <c r="J83" i="7"/>
  <c r="K83" i="7"/>
  <c r="H91" i="7"/>
  <c r="I91" i="7"/>
  <c r="J91" i="7"/>
  <c r="K91" i="7"/>
  <c r="H92" i="7"/>
  <c r="I92" i="7"/>
  <c r="J92" i="7"/>
  <c r="K92" i="7"/>
  <c r="H98" i="7"/>
  <c r="I98" i="7"/>
  <c r="J98" i="7"/>
  <c r="K98" i="7"/>
  <c r="H100" i="7"/>
  <c r="I100" i="7"/>
  <c r="J100" i="7"/>
  <c r="K100" i="7"/>
  <c r="H105" i="7"/>
  <c r="I105" i="7"/>
  <c r="J105" i="7"/>
  <c r="K105" i="7"/>
  <c r="H106" i="7"/>
  <c r="I106" i="7"/>
  <c r="J106" i="7"/>
  <c r="K106" i="7"/>
  <c r="H107" i="7"/>
  <c r="I107" i="7"/>
  <c r="J107" i="7"/>
  <c r="K107" i="7"/>
  <c r="H108" i="7"/>
  <c r="I108" i="7"/>
  <c r="J108" i="7"/>
  <c r="K108" i="7"/>
  <c r="H109" i="7"/>
  <c r="I109" i="7"/>
  <c r="J109" i="7"/>
  <c r="K109" i="7"/>
  <c r="H42" i="16"/>
  <c r="I42" i="16"/>
  <c r="J42" i="16"/>
  <c r="K42" i="16"/>
  <c r="H93" i="16"/>
  <c r="I93" i="16"/>
  <c r="J93" i="16"/>
  <c r="K93" i="16"/>
  <c r="H97" i="16"/>
  <c r="I97" i="16"/>
  <c r="J97" i="16"/>
  <c r="K97" i="16"/>
  <c r="H105" i="16"/>
  <c r="I105" i="16"/>
  <c r="J105" i="16"/>
  <c r="K105" i="16"/>
  <c r="H106" i="16"/>
  <c r="I106" i="16"/>
  <c r="J106" i="16"/>
  <c r="K106" i="16"/>
  <c r="H112" i="16"/>
  <c r="I112" i="16"/>
  <c r="J112" i="16"/>
  <c r="K112" i="16"/>
  <c r="H114" i="16"/>
  <c r="I114" i="16"/>
  <c r="J114" i="16"/>
  <c r="K114" i="16"/>
  <c r="H119" i="16"/>
  <c r="I119" i="16"/>
  <c r="J119" i="16"/>
  <c r="K119" i="16"/>
  <c r="H120" i="16"/>
  <c r="I120" i="16"/>
  <c r="J120" i="16"/>
  <c r="K120" i="16"/>
  <c r="H121" i="16"/>
  <c r="I121" i="16"/>
  <c r="J121" i="16"/>
  <c r="K121" i="16"/>
  <c r="H122" i="16"/>
  <c r="I122" i="16"/>
  <c r="J122" i="16"/>
  <c r="K122" i="16"/>
  <c r="H123" i="16"/>
  <c r="I123" i="16"/>
  <c r="J123" i="16"/>
  <c r="K123" i="16"/>
  <c r="H42" i="15"/>
  <c r="I42" i="15"/>
  <c r="J42" i="15"/>
  <c r="K42" i="15"/>
  <c r="I44" i="15"/>
  <c r="J44" i="15"/>
  <c r="K44" i="15"/>
  <c r="H46" i="15"/>
  <c r="I46" i="15"/>
  <c r="J46" i="15"/>
  <c r="K46" i="15"/>
  <c r="H91" i="15"/>
  <c r="I91" i="15"/>
  <c r="J91" i="15"/>
  <c r="K91" i="15"/>
  <c r="H95" i="15"/>
  <c r="I95" i="15"/>
  <c r="J95" i="15"/>
  <c r="K95" i="15"/>
  <c r="H103" i="15"/>
  <c r="I103" i="15"/>
  <c r="J103" i="15"/>
  <c r="K103" i="15"/>
  <c r="H104" i="15"/>
  <c r="I104" i="15"/>
  <c r="J104" i="15"/>
  <c r="K104" i="15"/>
  <c r="H110" i="15"/>
  <c r="I110" i="15"/>
  <c r="J110" i="15"/>
  <c r="K110" i="15"/>
  <c r="H112" i="15"/>
  <c r="I112" i="15"/>
  <c r="J112" i="15"/>
  <c r="K112" i="15"/>
  <c r="H117" i="15"/>
  <c r="I117" i="15"/>
  <c r="J117" i="15"/>
  <c r="K117" i="15"/>
  <c r="H118" i="15"/>
  <c r="I118" i="15"/>
  <c r="J118" i="15"/>
  <c r="K118" i="15"/>
  <c r="H119" i="15"/>
  <c r="I119" i="15"/>
  <c r="J119" i="15"/>
  <c r="K119" i="15"/>
  <c r="H120" i="15"/>
  <c r="I120" i="15"/>
  <c r="J120" i="15"/>
  <c r="K120" i="15"/>
  <c r="H121" i="15"/>
  <c r="I121" i="15"/>
  <c r="J121" i="15"/>
  <c r="K121" i="15"/>
  <c r="H42" i="8"/>
  <c r="I42" i="8"/>
  <c r="J42" i="8"/>
  <c r="K42" i="8"/>
  <c r="H116" i="8"/>
  <c r="I116" i="8"/>
  <c r="J116" i="8"/>
  <c r="K116" i="8"/>
  <c r="H120" i="8"/>
  <c r="I120" i="8"/>
  <c r="J120" i="8"/>
  <c r="K120" i="8"/>
  <c r="H128" i="8"/>
  <c r="I128" i="8"/>
  <c r="J128" i="8"/>
  <c r="K128" i="8"/>
  <c r="H129" i="8"/>
  <c r="I129" i="8"/>
  <c r="J129" i="8"/>
  <c r="K129" i="8"/>
  <c r="H135" i="8"/>
  <c r="I135" i="8"/>
  <c r="J135" i="8"/>
  <c r="K135" i="8"/>
  <c r="H137" i="8"/>
  <c r="I137" i="8"/>
  <c r="J137" i="8"/>
  <c r="K137" i="8"/>
  <c r="H142" i="8"/>
  <c r="I142" i="8"/>
  <c r="J142" i="8"/>
  <c r="K142" i="8"/>
  <c r="H143" i="8"/>
  <c r="I143" i="8"/>
  <c r="J143" i="8"/>
  <c r="K143" i="8"/>
  <c r="H144" i="8"/>
  <c r="I144" i="8"/>
  <c r="J144" i="8"/>
  <c r="K144" i="8"/>
  <c r="H145" i="8"/>
  <c r="I145" i="8"/>
  <c r="J145" i="8"/>
  <c r="K145" i="8"/>
  <c r="H146" i="8"/>
  <c r="I146" i="8"/>
  <c r="J146" i="8"/>
  <c r="K146" i="8"/>
  <c r="H42" i="23"/>
  <c r="I42" i="23"/>
  <c r="J42" i="23"/>
  <c r="K42" i="23"/>
  <c r="H77" i="23"/>
  <c r="I77" i="23"/>
  <c r="J77" i="23"/>
  <c r="K77" i="23"/>
  <c r="H81" i="23"/>
  <c r="I81" i="23"/>
  <c r="J81" i="23"/>
  <c r="K81" i="23"/>
  <c r="H89" i="23"/>
  <c r="I89" i="23"/>
  <c r="J89" i="23"/>
  <c r="K89" i="23"/>
  <c r="H90" i="23"/>
  <c r="I90" i="23"/>
  <c r="J90" i="23"/>
  <c r="K90" i="23"/>
  <c r="H96" i="23"/>
  <c r="I96" i="23"/>
  <c r="J96" i="23"/>
  <c r="K96" i="23"/>
  <c r="H98" i="23"/>
  <c r="I98" i="23"/>
  <c r="J98" i="23"/>
  <c r="K98" i="23"/>
  <c r="H103" i="23"/>
  <c r="I103" i="23"/>
  <c r="J103" i="23"/>
  <c r="K103" i="23"/>
  <c r="H104" i="23"/>
  <c r="I104" i="23"/>
  <c r="J104" i="23"/>
  <c r="K104" i="23"/>
  <c r="H105" i="23"/>
  <c r="I105" i="23"/>
  <c r="J105" i="23"/>
  <c r="K105" i="23"/>
  <c r="H106" i="23"/>
  <c r="I106" i="23"/>
  <c r="J106" i="23"/>
  <c r="K106" i="23"/>
  <c r="H107" i="23"/>
  <c r="I107" i="23"/>
  <c r="J107" i="23"/>
  <c r="K107" i="23"/>
  <c r="D23" i="27"/>
  <c r="F23" i="27"/>
  <c r="H23" i="27"/>
  <c r="J23" i="27"/>
  <c r="L23" i="27"/>
  <c r="D29" i="27"/>
  <c r="F29" i="27"/>
  <c r="H29" i="27"/>
  <c r="J29" i="27"/>
  <c r="L29" i="27"/>
  <c r="D31" i="27"/>
  <c r="F31" i="27"/>
  <c r="H31" i="27"/>
  <c r="J31" i="27"/>
  <c r="L31" i="27"/>
  <c r="D33" i="27"/>
  <c r="F33" i="27"/>
  <c r="H33" i="27"/>
  <c r="J33" i="27"/>
  <c r="L33" i="27"/>
  <c r="D39" i="27"/>
  <c r="F39" i="27"/>
  <c r="H39" i="27"/>
  <c r="J39" i="27"/>
  <c r="L39" i="27"/>
  <c r="D41" i="27"/>
  <c r="F41" i="27"/>
  <c r="H41" i="27"/>
  <c r="J41" i="27"/>
  <c r="L41" i="27"/>
  <c r="D43" i="27"/>
  <c r="F43" i="27"/>
  <c r="H43" i="27"/>
  <c r="J43" i="27"/>
  <c r="L43" i="27"/>
  <c r="D49" i="27"/>
  <c r="F49" i="27"/>
  <c r="H49" i="27"/>
  <c r="J49" i="27"/>
  <c r="L49" i="27"/>
  <c r="D51" i="27"/>
  <c r="F51" i="27"/>
  <c r="H51" i="27"/>
  <c r="J51" i="27"/>
  <c r="L51" i="27"/>
  <c r="D53" i="27"/>
  <c r="F53" i="27"/>
  <c r="H53" i="27"/>
  <c r="J53" i="27"/>
  <c r="L53" i="27"/>
  <c r="D59" i="27"/>
  <c r="F59" i="27"/>
  <c r="H59" i="27"/>
  <c r="J59" i="27"/>
  <c r="L59" i="27"/>
  <c r="D61" i="27"/>
  <c r="F61" i="27"/>
  <c r="H61" i="27"/>
  <c r="J61" i="27"/>
  <c r="L61" i="27"/>
  <c r="D83" i="27"/>
  <c r="F83" i="27"/>
  <c r="H83" i="27"/>
  <c r="J83" i="27"/>
  <c r="L83" i="27"/>
  <c r="D89" i="27"/>
  <c r="F89" i="27"/>
  <c r="H89" i="27"/>
  <c r="J89" i="27"/>
  <c r="L89" i="27"/>
  <c r="D91" i="27"/>
  <c r="F91" i="27"/>
  <c r="H91" i="27"/>
  <c r="J91" i="27"/>
  <c r="L91" i="27"/>
  <c r="D93" i="27"/>
  <c r="F93" i="27"/>
  <c r="H93" i="27"/>
  <c r="J93" i="27"/>
  <c r="L93" i="27"/>
  <c r="D99" i="27"/>
  <c r="F99" i="27"/>
  <c r="H99" i="27"/>
  <c r="J99" i="27"/>
  <c r="L99" i="27"/>
  <c r="D101" i="27"/>
  <c r="F101" i="27"/>
  <c r="H101" i="27"/>
  <c r="J101" i="27"/>
  <c r="L101" i="27"/>
  <c r="D103" i="27"/>
  <c r="F103" i="27"/>
  <c r="H103" i="27"/>
  <c r="J103" i="27"/>
  <c r="L103" i="27"/>
  <c r="D109" i="27"/>
  <c r="F109" i="27"/>
  <c r="H109" i="27"/>
  <c r="J109" i="27"/>
  <c r="L109" i="27"/>
  <c r="D111" i="27"/>
  <c r="F111" i="27"/>
  <c r="H111" i="27"/>
  <c r="J111" i="27"/>
  <c r="L111" i="27"/>
  <c r="D113" i="27"/>
  <c r="F113" i="27"/>
  <c r="H113" i="27"/>
  <c r="J113" i="27"/>
  <c r="L113" i="27"/>
  <c r="D123" i="27"/>
  <c r="F123" i="27"/>
  <c r="H123" i="27"/>
  <c r="J123" i="27"/>
  <c r="L123" i="27"/>
  <c r="D129" i="27"/>
  <c r="F129" i="27"/>
  <c r="H129" i="27"/>
  <c r="J129" i="27"/>
  <c r="L129" i="27"/>
  <c r="D131" i="27"/>
  <c r="F131" i="27"/>
  <c r="H131" i="27"/>
  <c r="J131" i="27"/>
  <c r="L131" i="27"/>
  <c r="D133" i="27"/>
  <c r="F133" i="27"/>
  <c r="H133" i="27"/>
  <c r="J133" i="27"/>
  <c r="L133" i="27"/>
  <c r="D139" i="27"/>
  <c r="F139" i="27"/>
  <c r="H139" i="27"/>
  <c r="J139" i="27"/>
  <c r="L139" i="27"/>
  <c r="D141" i="27"/>
  <c r="F141" i="27"/>
  <c r="H141" i="27"/>
  <c r="J141" i="27"/>
  <c r="L141" i="27"/>
  <c r="D153" i="27"/>
  <c r="F153" i="27"/>
  <c r="H153" i="27"/>
  <c r="J153" i="27"/>
  <c r="L153" i="27"/>
</calcChain>
</file>

<file path=xl/sharedStrings.xml><?xml version="1.0" encoding="utf-8"?>
<sst xmlns="http://schemas.openxmlformats.org/spreadsheetml/2006/main" count="5285" uniqueCount="461">
  <si>
    <t>General</t>
  </si>
  <si>
    <t>Item</t>
  </si>
  <si>
    <t>Value</t>
  </si>
  <si>
    <t>Hours Per Year</t>
  </si>
  <si>
    <t>Hours Per Week</t>
  </si>
  <si>
    <t>Weeks Per Year</t>
  </si>
  <si>
    <t>Project Mgmt to Consultants</t>
  </si>
  <si>
    <t>Program Mgmt to Project Mgmt</t>
  </si>
  <si>
    <t>Inflation Rate (Internal and External)</t>
  </si>
  <si>
    <t>Labor Rates</t>
  </si>
  <si>
    <t>Type</t>
  </si>
  <si>
    <t>Hourly Rate</t>
  </si>
  <si>
    <t>Weekly Rate</t>
  </si>
  <si>
    <t>Notes</t>
  </si>
  <si>
    <t>Consultant External</t>
  </si>
  <si>
    <t>Project Manager External</t>
  </si>
  <si>
    <t>Program Manager External</t>
  </si>
  <si>
    <t>DCF Program</t>
  </si>
  <si>
    <t>DCF IT</t>
  </si>
  <si>
    <t xml:space="preserve">CBC Lead Agency </t>
  </si>
  <si>
    <t xml:space="preserve">FICW </t>
  </si>
  <si>
    <t>Other Agencies/Stakeholders Program</t>
  </si>
  <si>
    <t>Other Agencies/Stakeholders IT</t>
  </si>
  <si>
    <t>FY 15-16</t>
  </si>
  <si>
    <t>FY 16-17</t>
  </si>
  <si>
    <t>FY 17-18</t>
  </si>
  <si>
    <t>FY 18-19</t>
  </si>
  <si>
    <t>FY 19-20</t>
  </si>
  <si>
    <t>Existing</t>
  </si>
  <si>
    <t>New</t>
  </si>
  <si>
    <t>Total Implementation Effort (Person Years)</t>
  </si>
  <si>
    <t>Project Team Members Borrowed From Existing Staff</t>
  </si>
  <si>
    <t>Total OPS Resources</t>
  </si>
  <si>
    <t xml:space="preserve">Additional Person Years Required </t>
  </si>
  <si>
    <t>Baseline Support Team Effort (Person Years)</t>
  </si>
  <si>
    <t>Total Support Team Effort (Person Years)</t>
  </si>
  <si>
    <t>Support Delta</t>
  </si>
  <si>
    <t>Support Delta (New Employees)</t>
  </si>
  <si>
    <t>Internal (Not Borrowed)</t>
  </si>
  <si>
    <t>Internal (Not Borrowed) - New</t>
  </si>
  <si>
    <t>External Total</t>
  </si>
  <si>
    <t>External Total - New</t>
  </si>
  <si>
    <t>Software Licenses</t>
  </si>
  <si>
    <t>Implement - Other</t>
  </si>
  <si>
    <t>Facilities Space Cost</t>
  </si>
  <si>
    <t xml:space="preserve">Computer Hardware </t>
  </si>
  <si>
    <t>Supporting Infrastructure Applications</t>
  </si>
  <si>
    <t>Data Center Facilities and Equipment</t>
  </si>
  <si>
    <t>SUBTOTAL</t>
  </si>
  <si>
    <t>Implement - External</t>
  </si>
  <si>
    <t>Software Maintenance Fees</t>
  </si>
  <si>
    <t>Hardware, Data Center Facilities and Other Equipment Purchases</t>
  </si>
  <si>
    <t>Hardware, Data Center Facilities and Other Equipment Maintenance</t>
  </si>
  <si>
    <t>Implement - Total</t>
  </si>
  <si>
    <t>@ 3% Cost of Capital</t>
  </si>
  <si>
    <t>@ 5% Cost of Capital</t>
  </si>
  <si>
    <t>@ 8% Cost of Capital</t>
  </si>
  <si>
    <t>@ 10% Cost of Capital</t>
  </si>
  <si>
    <t>@ 12% Cost of Capital</t>
  </si>
  <si>
    <t>DCF - Program</t>
  </si>
  <si>
    <t>DCF - IT</t>
  </si>
  <si>
    <t>FICW</t>
  </si>
  <si>
    <t>Other Stakeholders - Program</t>
  </si>
  <si>
    <t>Other Stakeholders - IT</t>
  </si>
  <si>
    <t>Consultants - External</t>
  </si>
  <si>
    <t>Project Management - External</t>
  </si>
  <si>
    <t>Program Management - External</t>
  </si>
  <si>
    <t>Phase</t>
  </si>
  <si>
    <t>Year 1 - Additional Cost Per Resource</t>
  </si>
  <si>
    <t>Year 1 - Cost Per Resource</t>
  </si>
  <si>
    <t>Cost Per Resource</t>
  </si>
  <si>
    <t>Internal Resources Cost</t>
  </si>
  <si>
    <t>Facilities Space Year 1 - Cost Per Resource</t>
  </si>
  <si>
    <t>Facilities Space Year 1 - Additional Cost Per Resource</t>
  </si>
  <si>
    <t>Facilities Space - Cost Per Resource</t>
  </si>
  <si>
    <t>Facilities Space - Internal Resources Cost</t>
  </si>
  <si>
    <t>Infrastructure Support / Other Expenditures</t>
  </si>
  <si>
    <t>Update Relevant Documentation</t>
  </si>
  <si>
    <t>DCF - Program (Person Years)</t>
  </si>
  <si>
    <t>DCF - IT (Person Years)</t>
  </si>
  <si>
    <t>CBC Lead Agency (Person Years)</t>
  </si>
  <si>
    <t>FICW (Person Years)</t>
  </si>
  <si>
    <t>Other Stakeholders - Program (Person Years)</t>
  </si>
  <si>
    <t>Other Stakeholders - IT (Person Years)</t>
  </si>
  <si>
    <t>Consultants - External (Person Years)</t>
  </si>
  <si>
    <t>Program Management - External (Person Years)</t>
  </si>
  <si>
    <t>Total DCF Resources (Roles)</t>
  </si>
  <si>
    <t>DCF - Project Management</t>
  </si>
  <si>
    <t>DCF - Program Management</t>
  </si>
  <si>
    <t>DCF Project Management</t>
  </si>
  <si>
    <t>DCF Program Management</t>
  </si>
  <si>
    <t>IT Consultant External</t>
  </si>
  <si>
    <t>IT Consultants - External</t>
  </si>
  <si>
    <t>Document Master Data Management (MDM) Standards - DCF Program</t>
  </si>
  <si>
    <t>Document Master Data Management (MDM) Standards - External IT</t>
  </si>
  <si>
    <t>Operate</t>
  </si>
  <si>
    <t>Support</t>
  </si>
  <si>
    <t>Users</t>
  </si>
  <si>
    <t>n/a</t>
  </si>
  <si>
    <t>Implementation of MDM (Data Sourcing, Standardization, Cleansing, Extraction, Transformation, and Loading) - DCF Program</t>
  </si>
  <si>
    <t>Implementation of MDM (Data Sourcing, Standardization, Cleansing, Extraction, Transformation, and Loading) - External IT</t>
  </si>
  <si>
    <t xml:space="preserve">Coordination of Data Sharing Agreements - DCF Program </t>
  </si>
  <si>
    <t>Coordination of Data Sharing Agreements - External IT</t>
  </si>
  <si>
    <t>DCF - Program Management (Person Years)</t>
  </si>
  <si>
    <t>DCF - Project Management (Person Years)</t>
  </si>
  <si>
    <t>IT Consultants - External (Person Years)</t>
  </si>
  <si>
    <t>Project Management - External (Person Years)</t>
  </si>
  <si>
    <t>Total FICW Resources (Roles)</t>
  </si>
  <si>
    <t>Total CBC Lead Agency Resources (Roles)</t>
  </si>
  <si>
    <t>Total Other Stakeholder Resources (Roles)</t>
  </si>
  <si>
    <t>Implement - DCF</t>
  </si>
  <si>
    <t>Implement - CBC Lead Agency</t>
  </si>
  <si>
    <t>Implement - FICW</t>
  </si>
  <si>
    <t>Implement - Other Stakeholders</t>
  </si>
  <si>
    <t>NET PRESENT VALUE</t>
  </si>
  <si>
    <t xml:space="preserve">Document Master Data Management (MDM) Standards </t>
  </si>
  <si>
    <t xml:space="preserve">Implementation of MDM (Data Sourcing, Standardization, Cleansing, Extraction, Transformation, and Loading) </t>
  </si>
  <si>
    <t xml:space="preserve">Coordination of Data Sharing Agreements </t>
  </si>
  <si>
    <t>Based on average salary of $92,347</t>
  </si>
  <si>
    <t>Based on average salary of $98,017</t>
  </si>
  <si>
    <t>TOTAL COST</t>
  </si>
  <si>
    <t>CUMULATIVE COST</t>
  </si>
  <si>
    <t>PHASE</t>
  </si>
  <si>
    <t>INFLATION RATE</t>
  </si>
  <si>
    <t>EXISTING/NEW</t>
  </si>
  <si>
    <t>Joint Develop Pilot Study Procedures with FICW</t>
  </si>
  <si>
    <t>Assess and Update CBC Contracts to Allow for Pilots</t>
  </si>
  <si>
    <t>ROA PROGRAM IMPLEMENTATION INITIATIVES</t>
  </si>
  <si>
    <t>Remediate Data Gap in Educational Stability Measurement - External IT</t>
  </si>
  <si>
    <t>Remediate Data Gap in School Attendance Measurement - External IT</t>
  </si>
  <si>
    <t>Remediate Data Gap in School Performance Measurement - External IT</t>
  </si>
  <si>
    <t>Remediate Data Gap in School Involvement Measurement - External IT</t>
  </si>
  <si>
    <t>Remediate Data Gap in Transition to Independent - Housing Measurement - External IT</t>
  </si>
  <si>
    <t>Remediate Data Gap in Transition to Independent - Employment Measurement - External IT</t>
  </si>
  <si>
    <t xml:space="preserve">Remediate Data Gap in Educational Stability Measurement </t>
  </si>
  <si>
    <t xml:space="preserve">Remediate Data Gap in School Attendance Measurement </t>
  </si>
  <si>
    <t xml:space="preserve">Remediate Data Gap in School Performance Measurement </t>
  </si>
  <si>
    <t xml:space="preserve">Remediate Data Gap in School Involvement Measurement </t>
  </si>
  <si>
    <t xml:space="preserve">Remediate Data Gap in Transition to Independent - Housing Measurement </t>
  </si>
  <si>
    <t xml:space="preserve">Remediate Data Gap in Transition to Independent - Employment Measurement </t>
  </si>
  <si>
    <t>Insulate and Configure Analytics Software</t>
  </si>
  <si>
    <t>Assess Technical Environment - External IT</t>
  </si>
  <si>
    <t>Insulate and Configure Analytics Software - External IT</t>
  </si>
  <si>
    <t>Assess Technical Environment - FICW</t>
  </si>
  <si>
    <t>Insulate and Configure Analytics Software - FICW</t>
  </si>
  <si>
    <t>Test Software Insulation and Configuration - FICW</t>
  </si>
  <si>
    <t>Test Software Insulation and Configuration - External IT</t>
  </si>
  <si>
    <t>Transfer Knowledge - FICW</t>
  </si>
  <si>
    <t>Transfer Knowledge - External IT</t>
  </si>
  <si>
    <t xml:space="preserve">Conduct Stakeholder Focus Groups / Interviews to Identify Proposed Measures </t>
  </si>
  <si>
    <t>Assess Technical Environment</t>
  </si>
  <si>
    <t>Test Software Insultation and Configuration</t>
  </si>
  <si>
    <t>Transfer Knowledge</t>
  </si>
  <si>
    <t>Conduct Next Level of Program Information Needs Assessment for Each  Stakeholder - DCF IT</t>
  </si>
  <si>
    <t>Conduct Next Level of Program Information Needs Assessment for Each  Stakeholder - CBC Lead Agency</t>
  </si>
  <si>
    <t>Conduct Next Level of Program Information Needs Assessment for Each  Stakeholder - External Consultant</t>
  </si>
  <si>
    <t>Conduct Next Level of Program Information Needs Assessment for Each  Stakeholder - DCF Program</t>
  </si>
  <si>
    <t>Develop Detailed Report Requirements - DCF Program</t>
  </si>
  <si>
    <t>Develop Detailed Report Requirements - DCF IT</t>
  </si>
  <si>
    <t>Develop Detailed Report Requirements - CBC Lead Agency</t>
  </si>
  <si>
    <t>Develop Detailed Report Requirements - External Consultant</t>
  </si>
  <si>
    <t>Create Detailed Report Designs - DCF IT</t>
  </si>
  <si>
    <t>Create Detailed Report Designs - External Consultant</t>
  </si>
  <si>
    <t>Develop Report Extracts, Data Transformation, and Presentation Mechanisms - DCF IT</t>
  </si>
  <si>
    <t>Develop Report Extracts, Data Transformation, and Presentation Mechanisms - External Consultant</t>
  </si>
  <si>
    <t>Test All Reporting Components -  DCF IT</t>
  </si>
  <si>
    <t>Develop Reports - DCF IT</t>
  </si>
  <si>
    <t>Develop and Conduct End User Training - External Consultant</t>
  </si>
  <si>
    <t>Conduct Next Level of Program Information Needs Assessment for Each Stakeholder</t>
  </si>
  <si>
    <t>Develop Detailed Report Requirements</t>
  </si>
  <si>
    <t>Create Detailed Report Designs</t>
  </si>
  <si>
    <t>Develop Report Extracts, Data Transformation, and Presentation Mechanisms</t>
  </si>
  <si>
    <t xml:space="preserve">Test All Reporting Components </t>
  </si>
  <si>
    <t>Develop and Conduct End User Training</t>
  </si>
  <si>
    <t>Conduct Next Level of Program Information Needs Assessment for Each  Stakeholder - Other Stakeholders</t>
  </si>
  <si>
    <t>Develop Detailed Report Requirements - Other Stakeholders</t>
  </si>
  <si>
    <t>Deploy Reports - DCF IT</t>
  </si>
  <si>
    <t xml:space="preserve">Deploy Reports </t>
  </si>
  <si>
    <t>Facilitate Review of IRB Processes Employed by ICW and Affiliated Institutions - DCF Program</t>
  </si>
  <si>
    <t>Facilitate Review of IRB Processes Employed by ICW and Affiliated Institutions - FICW</t>
  </si>
  <si>
    <t>Facilitate Review of IRB Processes Employed by ICW and Affiliated Institutions - Consultant External</t>
  </si>
  <si>
    <t>Determine Need for Updates to DCF or FICW Policy to Ensure All Requirements Met - DCF Program</t>
  </si>
  <si>
    <t>Determine Need for Updates to DCF or FICW Policy to Ensure All Requirements Met - FICW</t>
  </si>
  <si>
    <t>Determine Need for Updates to DCF or FICW Policy to Ensure All Requirements Met - Consultant External</t>
  </si>
  <si>
    <t>Develop Program-Specific Procedures for Engaging the IRB Process - DCF Program</t>
  </si>
  <si>
    <t>Develop Program-Specific Procedures for Engaging the IRB Process - FICW</t>
  </si>
  <si>
    <t>Develop Program-Specific Procedures for Engaging the IRB Process - Consultant External</t>
  </si>
  <si>
    <t>Research and Develop "Levels of Evidence" - DCF Program</t>
  </si>
  <si>
    <t>Research and Develop "Levels of Evidence" - FICW</t>
  </si>
  <si>
    <t>Research, Test, and Implement a Meta-Analysis Protocol - DCF Program</t>
  </si>
  <si>
    <t>Research, Test, and Implement a Meta-Analysis Protocol - FICW</t>
  </si>
  <si>
    <t>Develop Process for Estimating Research Budget - DCF Program</t>
  </si>
  <si>
    <t>Develop Process for Estimating Research Budget - FICW</t>
  </si>
  <si>
    <t>Research and Develop "Levels of Evidence"</t>
  </si>
  <si>
    <t xml:space="preserve">Research, Test, and Implement a Meta-Analysis Protocol </t>
  </si>
  <si>
    <t xml:space="preserve">Develop Process for Estimating Research Budget </t>
  </si>
  <si>
    <t>Joint Develop Pilot Study Procedures with FICW - DCF Program</t>
  </si>
  <si>
    <t>Joint Develop Pilot Study Procedures with FICW - FICW</t>
  </si>
  <si>
    <t>Joint Develop Pilot Study Procedures with FICW - CBC Lead Agency</t>
  </si>
  <si>
    <t>Joint Develop Pilot Study Procedures with FICW - Other Stakeholders</t>
  </si>
  <si>
    <t xml:space="preserve">Assess and Update CBC Contracts to Allow for Pilots - DCF Program </t>
  </si>
  <si>
    <t>Assess and Update CBC Contracts to Allow for Pilots - FICW</t>
  </si>
  <si>
    <t>Assess and Update CBC Contracts to Allow for Pilots - CBC Lead Agency</t>
  </si>
  <si>
    <t>Assess and Update CBC Contracts to Allow for Pilots - Other Stakeholders</t>
  </si>
  <si>
    <t xml:space="preserve">Create Standards for Project Management of Pilot Studies - DCF Program </t>
  </si>
  <si>
    <t>Create Standards for Project Management of Pilot Studies - FICW</t>
  </si>
  <si>
    <t>Create Standards for Project Management of Pilot Studies - CBC Lead Agency</t>
  </si>
  <si>
    <t>Create Standards for Project Management of Pilot Studies - Other Stakeholders</t>
  </si>
  <si>
    <t xml:space="preserve">Create Protocols for Staffing Pilots - DCF Program </t>
  </si>
  <si>
    <t>Create Protocols for Staffing Pilots - FICW</t>
  </si>
  <si>
    <t xml:space="preserve">Create Protocols for Staffing Pilots - CBC Lead Agency </t>
  </si>
  <si>
    <t>Create Protocols for Staffing Pilots - Other Stakeholders</t>
  </si>
  <si>
    <t>Create Protocols for Staffing Pilots</t>
  </si>
  <si>
    <t>Create Standards for Project Management of Pilot Studies</t>
  </si>
  <si>
    <t>Conduct Needs Assessment To Determine Training Requirements / Objectives - DCF Program</t>
  </si>
  <si>
    <t>Conduct Needs Assessment To Determine Training Requirements / Objectives - FICW</t>
  </si>
  <si>
    <t>Conduct Needs Assessment To Determine Training Requirements / Objectives - CBC Lead Agency</t>
  </si>
  <si>
    <t>Conduct Needs Assessment To Determine Training Requirements / Objectives - Other Stakeholder</t>
  </si>
  <si>
    <t>Conduct Needs Assessment To Determine Training Requirements / Objectives - External Consultant</t>
  </si>
  <si>
    <t>Design Training / Strategy - DCF Program</t>
  </si>
  <si>
    <t>Design Training / Strategy - FICW</t>
  </si>
  <si>
    <t>Design Training / Strategy - CBC Lead Agency</t>
  </si>
  <si>
    <t>Design Training / Strategy - Other Stakeholder</t>
  </si>
  <si>
    <t>Design Training / Strategy - External Consultant</t>
  </si>
  <si>
    <t>Develop Training Materials - External Consultant</t>
  </si>
  <si>
    <t>Implement Training Materials - DCF Program</t>
  </si>
  <si>
    <t>Implement Training Materials - FICW</t>
  </si>
  <si>
    <t>Implement Training Materials - CBC Lead Agency</t>
  </si>
  <si>
    <t>Implement Training Materials - Other Stakeholder</t>
  </si>
  <si>
    <t>Implement Training Materials - External Consultant</t>
  </si>
  <si>
    <t>Conduct Training Evaluation - External Consultant</t>
  </si>
  <si>
    <t>Integrate Course into New Employee Curriculum - DCF Program</t>
  </si>
  <si>
    <t>Integrate Course into New Employee Curriculum - External Consultant</t>
  </si>
  <si>
    <t xml:space="preserve">Confirm Measure Validity and Identify and Address Unintended Consequences </t>
  </si>
  <si>
    <t xml:space="preserve">Develop Outcome Measure Calculation Algorithms </t>
  </si>
  <si>
    <t xml:space="preserve">Set Performance Baselines and Targets </t>
  </si>
  <si>
    <t xml:space="preserve">Pilot Measures and Make Necessary Adjustments </t>
  </si>
  <si>
    <t>Establish ROA Stakeholder Portal (Low Complexity) - External IT</t>
  </si>
  <si>
    <t>Establish ROA Stakeholder Portal (Med Complexity) - External IT</t>
  </si>
  <si>
    <t>Establish ROA Stakeholder Portal (Hi Complexity) - External IT</t>
  </si>
  <si>
    <t>Establish ROA Stakeholder Portal (Extra Hi Complexity) - External IT</t>
  </si>
  <si>
    <t>Establish ROA Stakeholder Data (Low Complexity) - External IT</t>
  </si>
  <si>
    <t>Establish ROA Stakeholder Data (Med Complexity) - External IT</t>
  </si>
  <si>
    <t>Establish ROA Stakeholder Data (Hi Complexity) - External IT</t>
  </si>
  <si>
    <t>Establish ROA Stakeholder Data (Extra Hi Complexity) - External IT</t>
  </si>
  <si>
    <t>Implement - All Stakeholders</t>
  </si>
  <si>
    <t>Identify Internal and External Units Conducting QA/QI and Contract Compliance Activities - DCF Program</t>
  </si>
  <si>
    <t>Identify Internal and External Units Conducting QA/QI and Contract Compliance Activities - CBC Lead Agency</t>
  </si>
  <si>
    <t>Identify Internal and External Units Conducting QA/QI and Contract Compliance Activities - Consultant External</t>
  </si>
  <si>
    <t>Assess Capacity to Conduct Case Reviews and Other QI Activities -  DCF Program</t>
  </si>
  <si>
    <t>Assess Capacity to Conduct Case Reviews and Other QI Activities -  CBC Lead Agency</t>
  </si>
  <si>
    <t>Assess Capacity to Conduct Case Reviews and Other QI Activities -  Consultant External</t>
  </si>
  <si>
    <t>Assess External Capacity / Cost to Conduct Contract Compliance Activities -  DCF Program</t>
  </si>
  <si>
    <t>Assess External Capacity / Cost to Conduct Contract Compliance Activities -  Consultant External</t>
  </si>
  <si>
    <t>Develop Recommendations Regarding QI Staffing - DCF Program</t>
  </si>
  <si>
    <t>Develop Recommendations Regarding QI Staffing - Consultant External</t>
  </si>
  <si>
    <t xml:space="preserve">Identify Internal and External Units Conducting QA/QI and Contract Compliance Activities </t>
  </si>
  <si>
    <t xml:space="preserve">Assess Capacity to Conduct Case Reviews and Other QI Activities </t>
  </si>
  <si>
    <t xml:space="preserve">Assess External Capacity / Cost to Conduct Contract Compliance Activities </t>
  </si>
  <si>
    <t>Develop Recommendations Regarding QI Staffing</t>
  </si>
  <si>
    <t>Assess Quality Improvement Needs Associated with the Program - DCF Program</t>
  </si>
  <si>
    <t>Assess Quality Improvement Needs Associated with the Program - Consultant External</t>
  </si>
  <si>
    <t>Develop / Modify QI Program Plan and Procedures to Include ROA Functions - DCF Program</t>
  </si>
  <si>
    <t>Develop / Modify QI Program Plan and Procedures to Include ROA Functions -  Consultant External</t>
  </si>
  <si>
    <t>Develop QI Staffing Plan - DCF Program</t>
  </si>
  <si>
    <t>Develop QI Staffing Plan - Consultant External</t>
  </si>
  <si>
    <t>Create Role / Position and Appoint QI Director - DCF Program</t>
  </si>
  <si>
    <t>Create Role / Position and Appoint QI Director - Consultant External</t>
  </si>
  <si>
    <t>Obtain QI Staff to Support Program Operations, Research, Evaluation, and QI Functions - Consultant External</t>
  </si>
  <si>
    <t>Obtain QI Staff to Support Program Operations, Research, Evaluation, and QI Functions - DCF Program</t>
  </si>
  <si>
    <t>Develop and Deliver QI/Learning Org Training for Managers - DCF Program</t>
  </si>
  <si>
    <t>Develop and Deliver QI/Learning Org Training for Managers - Consultant External</t>
  </si>
  <si>
    <t>Develop and Deliver QI/Learning Org Training for Line Staff and Stakeholders - DCF Program</t>
  </si>
  <si>
    <t>Develop and Deliver QI/Learning Org Training for Line Staff and Stakeholders - Consultant External</t>
  </si>
  <si>
    <t xml:space="preserve">Assess Quality Improvement Needs Associated with the Program </t>
  </si>
  <si>
    <t xml:space="preserve">Develop / Modify QI Program Plan and Procedures to Include ROA Functions </t>
  </si>
  <si>
    <t xml:space="preserve">Develop QI Staffing Plan </t>
  </si>
  <si>
    <t xml:space="preserve">Create Role / Position and Appoint QI Director </t>
  </si>
  <si>
    <t xml:space="preserve">Obtain QI Staff to Support Program Operations, Research, Evaluation, and QI Functions </t>
  </si>
  <si>
    <t xml:space="preserve">Develop and Deliver QI/Learning Org Training for Managers </t>
  </si>
  <si>
    <t xml:space="preserve">Develop and Deliver QI/Learning Org Training for Line Staff and Stakeholders </t>
  </si>
  <si>
    <t xml:space="preserve">Develop Detailed Program Implementation Master Schedule </t>
  </si>
  <si>
    <t>Create and Validate Program Prioritization Process</t>
  </si>
  <si>
    <t xml:space="preserve">Develop Program Governance Processes / Procedures </t>
  </si>
  <si>
    <t>Perform OCM Activities</t>
  </si>
  <si>
    <t>Create Program Management Processes</t>
  </si>
  <si>
    <t xml:space="preserve">Create Program Implementation Management Office </t>
  </si>
  <si>
    <t xml:space="preserve">Project Management </t>
  </si>
  <si>
    <t xml:space="preserve">Program Management </t>
  </si>
  <si>
    <t>Perform OCM Activities - DCF Program</t>
  </si>
  <si>
    <t>Program Management - DCF Program Management</t>
  </si>
  <si>
    <t>Project Management - DCF Project Management</t>
  </si>
  <si>
    <t>Program Management - External Program Management</t>
  </si>
  <si>
    <t>Project Management - External Project Management</t>
  </si>
  <si>
    <t>Conduct Stakeholder Focus Groups / Interviews to Identify Proposed Measures - FICW</t>
  </si>
  <si>
    <t>Conduct Stakeholder Focus Groups / Interviews to Identify Proposed Measures - External Consultant</t>
  </si>
  <si>
    <t>Confirm Measure Validity and Identify and Address Unintended Consequences - FICW</t>
  </si>
  <si>
    <t>Confirm Measure Validity and Identify and Address Unintended Consequences - External IT</t>
  </si>
  <si>
    <t>Develop Outcome Measure Calculation Algorithms - DCF Program</t>
  </si>
  <si>
    <t>Develop Outcome Measure Calculation Algorithms - External Consultant</t>
  </si>
  <si>
    <t>Set Performance Baselines and Targets - FICW</t>
  </si>
  <si>
    <t>Set Performance Baselines and Targets - External Consultant</t>
  </si>
  <si>
    <t>Pilot Measures and Make Necessary Adjustments - FICW</t>
  </si>
  <si>
    <t>Implement - Facilities</t>
  </si>
  <si>
    <t>Implement - Hardware/Software</t>
  </si>
  <si>
    <t>Create Program Implementation Management Office - External Consultant</t>
  </si>
  <si>
    <t xml:space="preserve">Create Program Management Processes - DCF Program </t>
  </si>
  <si>
    <t>Create Program Management Processes - External Consultant</t>
  </si>
  <si>
    <t>Develop Program Governance Processes / Procedures - DCF Progam</t>
  </si>
  <si>
    <t>Develop Program Governance Processes / Procedures - External Consultant</t>
  </si>
  <si>
    <t>Create and Validate Program Prioritization Process - External Consultant</t>
  </si>
  <si>
    <t>Develop Detailed Program Implementation Master Schedule - External Consultant</t>
  </si>
  <si>
    <t>Perform OCM Activities - External Consultant</t>
  </si>
  <si>
    <t>VARIABLES</t>
  </si>
  <si>
    <t>LABOR</t>
  </si>
  <si>
    <t>FACILITIES</t>
  </si>
  <si>
    <t>STAFF PLANNING</t>
  </si>
  <si>
    <t>FTE PER TASK</t>
  </si>
  <si>
    <t>IMPLEMENTATION</t>
  </si>
  <si>
    <t>WEEK PER TASK</t>
  </si>
  <si>
    <t>WEEKS PER TASK</t>
  </si>
  <si>
    <t>COST PER TASK</t>
  </si>
  <si>
    <t>REQUIRED PURCHASES</t>
  </si>
  <si>
    <t>ONGOING SYSTEM SUPPORT</t>
  </si>
  <si>
    <t>EFFORT - PERSON YEARS</t>
  </si>
  <si>
    <t>ONGONG SYSTEM SUPPORT</t>
  </si>
  <si>
    <t xml:space="preserve">ONGOING SYSTEM SUPPORT </t>
  </si>
  <si>
    <t>COST</t>
  </si>
  <si>
    <t>INITIATIVE 2: MEASURE DEVELOPMENT AND VALIDATION</t>
  </si>
  <si>
    <t>INITIATIVE 8: QUALITY IMPROVEMENT ORGANIZATION</t>
  </si>
  <si>
    <t>INITIATIVE 11: INSTITUTIONAL REVIEW POLICY UPDATE</t>
  </si>
  <si>
    <t>INITIATIVE 12: RESEARCH STANDARDS</t>
  </si>
  <si>
    <t>INITIATIVE 13: PILOT STUDY STANDARDS</t>
  </si>
  <si>
    <t>INITIATIVE 6: ACCOUNTABILITY REPORTS</t>
  </si>
  <si>
    <t>INITIATIVE 2:  MEASURE DEVELOPMENT AND VALIDATION</t>
  </si>
  <si>
    <t>INITIATIVE 3:  MASTER DATA MANAGEMENT (MDM)</t>
  </si>
  <si>
    <t>INITIATIVE 5:  DATA SYSTEM UPDATES FOR INITIAL MEASUREMENT GAPS</t>
  </si>
  <si>
    <t>INITIATIVE 6:  ACCOUNTABILITY REPORTS</t>
  </si>
  <si>
    <t>INITIATIVE 8:  QUALITY IMPROVEMENT ORGANIZATION</t>
  </si>
  <si>
    <t>INITIATIVE 3: MASTER DATA MANAGEMENT (MDM)</t>
  </si>
  <si>
    <t>Based on DCF Child Welfare Program Office Staff rate</t>
  </si>
  <si>
    <t>Based on DCF IT Staff rate</t>
  </si>
  <si>
    <t>Based on the average of Senior Consultant and Consultant position rates for 12 vendors on the Management Consulting State Term Contract</t>
  </si>
  <si>
    <t>Based on the DCF standard rate for external IT resources</t>
  </si>
  <si>
    <t>Based on industry experience</t>
  </si>
  <si>
    <t>Based on average salary of $98,292, includes</t>
  </si>
  <si>
    <t>Perform Data Analysis - FICW</t>
  </si>
  <si>
    <t>Coordinate Database Administration - FICW</t>
  </si>
  <si>
    <t>Develop Analytical Models, Planning and Analytical Tasks - FICW</t>
  </si>
  <si>
    <t>Coordinate Portal Implementation and Maintenance - FICW</t>
  </si>
  <si>
    <t>Perform Basic Extracts, Loads and Transformation - FICW</t>
  </si>
  <si>
    <t>Perform Reviews of Scientific Literature, Retrieve Articles of Interest, Perform Analysis of Studies - FICW</t>
  </si>
  <si>
    <t>Develop Policy, Strategic Design and Thought Leadership - FICW</t>
  </si>
  <si>
    <t>Interface with DCF and Develop ROA Program Strategy - FICW</t>
  </si>
  <si>
    <t>Support ROA Implementation and Training - FICW</t>
  </si>
  <si>
    <t>INITIATIVE 4: ESTABLISHMENT OF DATA LAB AND TOOLS</t>
  </si>
  <si>
    <t>INITIATIVE 4:  ESTABLISHMENT OF DATA LAB AND TOOLS</t>
  </si>
  <si>
    <t>Conduct Stakeholder Focus Groups / Interviews to Identify Proposed Measures - DCF Program</t>
  </si>
  <si>
    <t>Conduct Stakeholder Focus Groups / Interviews to Identify Proposed Measures - CBC Lead Agency</t>
  </si>
  <si>
    <t>Conduct Stakeholder Focus Groups / Interviews to Identify Proposed Measures - Other Stakeholders</t>
  </si>
  <si>
    <t>Confirm Measure Validity and Identify and Address Unintended Consequences - DCF Program</t>
  </si>
  <si>
    <t>Confirm Measure Validity and Identify and Address Unintended Consequences - CBC Lead Agency</t>
  </si>
  <si>
    <t>Confirm Measure Validity and Identify and Address Unintended Consequences - Other Stakeholders</t>
  </si>
  <si>
    <t>Set Performance Baselines and Targets - DCF Program</t>
  </si>
  <si>
    <t>Set Performance Baselines and Targets - CBC Lead Agency</t>
  </si>
  <si>
    <t>Set Performance Baselines and Targets - Other Stakeholders</t>
  </si>
  <si>
    <t>Pilot Measures and Make Necessary Adjustments - DCF Program</t>
  </si>
  <si>
    <t>Pilot Measures and Make Necessary Adjustments - CBC Lead Agency</t>
  </si>
  <si>
    <t>Pilot Measures and Make Necessary Adjustments - Other Stakeholders</t>
  </si>
  <si>
    <t>Update Relevant Documentation - DCF Program</t>
  </si>
  <si>
    <t>Update Relevant Documentation - CBC Lead Agency</t>
  </si>
  <si>
    <t>Update Relevant Documentation - Other Stakeholders</t>
  </si>
  <si>
    <t>Conduct Stakeholder Focus Groups / Interviews to Identify Proposed Measures  - FICW</t>
  </si>
  <si>
    <t>Conduct Stakeholder Focus Groups / Interviews to Identify Proposed Measures  - Other Stakeholders</t>
  </si>
  <si>
    <t>Confirm Measure Validity and Identify and Address Unintended Consequences  - External IT Consultant</t>
  </si>
  <si>
    <t>Develop Outcome Measure Calculation Algorithms  - DCF Program</t>
  </si>
  <si>
    <t>Develop Outcome Measure Calculation Algorithms  - External Consultant</t>
  </si>
  <si>
    <t>Set Performance Baselines and Targets  - FICW</t>
  </si>
  <si>
    <t>Set Performance Baselines and Targets  - Other Stakeholders</t>
  </si>
  <si>
    <t>Conduct Stakeholder Focus Groups / Interviews to Identify Proposed Measures  - DCF Program</t>
  </si>
  <si>
    <t>Conduct Stakeholder Focus Groups / Interviews to Identify Proposed Measures  - CBC Lead Agency</t>
  </si>
  <si>
    <t>Set Performance Baselines and Targets  - DCF Program</t>
  </si>
  <si>
    <t>Set Performance Baselines and Targets  - CBC Lead Agency</t>
  </si>
  <si>
    <t>Conduct Stakeholder Focus Groups / Interviews to Identify Proposed Measures  - External Consultant</t>
  </si>
  <si>
    <t>Confirm Measure Validity and Identify and Address Unintended Consequences  - FICW</t>
  </si>
  <si>
    <t>Set Performance Baselines and Targets  - External Consultant</t>
  </si>
  <si>
    <t>Pilot Measures and Make Necessary Adjustments  - FICW</t>
  </si>
  <si>
    <t>Confirm Measure Validity and Identify and Address Unintended Consequences  - DCF Program</t>
  </si>
  <si>
    <t>Confirm Measure Validity and Identify and Address Unintended Consequences  - CBC Lead Agency</t>
  </si>
  <si>
    <t>Confirm Measure Validity and Identify and Address Unintended Consequences  - Other Stakeholders</t>
  </si>
  <si>
    <t>Pilot Measures and Make Necessary Adjustments  - DCF Program</t>
  </si>
  <si>
    <t>Pilot Measures and Make Necessary Adjustments  - CBC Lead Agency</t>
  </si>
  <si>
    <t>Pilot Measures and Make Necessary Adjustments  - Other Stakeholders</t>
  </si>
  <si>
    <t>Update Relevant Documentation  - DCF Program</t>
  </si>
  <si>
    <t>Update Relevant Documentation  - CBC Lead Agency</t>
  </si>
  <si>
    <t>Update Relevant Documentation  - Other Stakeholders</t>
  </si>
  <si>
    <t>Based on salary of $100,000</t>
  </si>
  <si>
    <t xml:space="preserve">Facilitate Review of IRB Processes Employed by ICW and Affiliated Institutions </t>
  </si>
  <si>
    <t xml:space="preserve">Determine Need for Updates to DCF or FICW Policy to Ensure All Requirements Met </t>
  </si>
  <si>
    <t xml:space="preserve">Develop Program-Specific Procedures for Engaging the IRB Process </t>
  </si>
  <si>
    <t xml:space="preserve">Establish ROA Stakeholder Data (Low Complexity) </t>
  </si>
  <si>
    <t xml:space="preserve">Establish ROA Stakeholder Data (Med Complexity) </t>
  </si>
  <si>
    <t xml:space="preserve">Establish ROA Stakeholder Data (Hi Complexity) </t>
  </si>
  <si>
    <t xml:space="preserve">Establish ROA Stakeholder Data (Extra Hi Complexity) </t>
  </si>
  <si>
    <t xml:space="preserve">Establish ROA Stakeholder Portal (Low Complexity) </t>
  </si>
  <si>
    <t xml:space="preserve">Establish ROA Stakeholder Portal (Med Complexity) </t>
  </si>
  <si>
    <t xml:space="preserve">Establish ROA Stakeholder Portal (Hi Complexity) </t>
  </si>
  <si>
    <t xml:space="preserve">Establish ROA Stakeholder Portal (Extra Hi Complexity) </t>
  </si>
  <si>
    <t xml:space="preserve">Internal </t>
  </si>
  <si>
    <t>Internal - New</t>
  </si>
  <si>
    <t>Internal  - New</t>
  </si>
  <si>
    <t>Internal</t>
  </si>
  <si>
    <t>Confirm Measure Validity and Identify and Address Unintended Consequences - DCF IT</t>
  </si>
  <si>
    <t>Confirm Measure Validity and Identify and Address Unintended Consequences  - DCF IT</t>
  </si>
  <si>
    <t>Assess Technical Environment - DCF IT</t>
  </si>
  <si>
    <t>Insulate and Configure Analytics Software - DCF IT</t>
  </si>
  <si>
    <t>Test Software Insultatin and Configuration - DCF IT</t>
  </si>
  <si>
    <t>Transfer Knowledge - DCF IT</t>
  </si>
  <si>
    <t>Test Software Insulation and Configuration - DCF IT</t>
  </si>
  <si>
    <t>Implementation of MDM (Data Sourcing, Standardization, Cleansing, Extraction, Transformation, and Loading) - DCF IT</t>
  </si>
  <si>
    <t>Coordination of Data Sharing Agreements - DCF IT</t>
  </si>
  <si>
    <t>Document Master Data Management (MDM) Standards - DCF IT</t>
  </si>
  <si>
    <t>Develop Training Materials - DCF Program</t>
  </si>
  <si>
    <t>Conduct Training Evaluation - DCF Program</t>
  </si>
  <si>
    <t>Establish ROA Stakeholder Data (Low Complexity) - DCF IT</t>
  </si>
  <si>
    <t>Establish ROA Stakeholder Data (Med Complexity) - DCF IT</t>
  </si>
  <si>
    <t>Establish ROA Stakeholder Data (Hi Complexity) - DCF IT</t>
  </si>
  <si>
    <t>Establish ROA Stakeholder Data (Extra Hi Complexity) - DCF IT</t>
  </si>
  <si>
    <t>Remediate Data Gap in Educational Stability Measurement - DCF IT</t>
  </si>
  <si>
    <t>Remediate Data Gap in School Attendance Measurement - DCF IT</t>
  </si>
  <si>
    <t>Remediate Data Gap in School Performance Measurement - DCF IT</t>
  </si>
  <si>
    <t>Remediate Data Gap in School Involvement Measurement - DCF IT</t>
  </si>
  <si>
    <t>Remediate Data Gap in Transition to Independent - Housing Measurement - DCF IT</t>
  </si>
  <si>
    <t>Remediate Data Gap in Transition to Independent - Employment Measurement - DCF IT</t>
  </si>
  <si>
    <t>Create Detailed Report Designs - DCF Program</t>
  </si>
  <si>
    <t>Develop Report Extracts, Data Transformation, and Presentation Mechanisms - DCF Program</t>
  </si>
  <si>
    <t>Develop and Conduct End User Training - DCF Program</t>
  </si>
  <si>
    <t>Establish ROA Stakeholder Portal (Low Complexity) - DCF IT</t>
  </si>
  <si>
    <t>Establish ROA Stakeholder Portal (Med Complexity) - DCF IT</t>
  </si>
  <si>
    <t>Establish ROA Stakeholder Portal (Hi Complexity) - DCF IT</t>
  </si>
  <si>
    <t>Establish ROA Stakeholder Portal (Extra Hi Complexity) - DCF IT</t>
  </si>
  <si>
    <t>DCF</t>
  </si>
  <si>
    <t>CBC / Other Stakeholders</t>
  </si>
  <si>
    <t>External Consultants</t>
  </si>
  <si>
    <t>TOTAL PERSON EFFORT BY ORGANIZATION / AREA</t>
  </si>
  <si>
    <t>EFFORT</t>
  </si>
  <si>
    <t>INITIATIVE 1: RESULTS-ORIENTED ACCOUNTABILITY IMPLEMENTATION PROJECT TEAM</t>
  </si>
  <si>
    <t>INITIATIVE 5: DATA SYSTEM UPDATES FOR INITIAL MEASUREMENT GAPS</t>
  </si>
  <si>
    <t>INITIATIVE 7: QUALITY ASSURANCE / COMPLIANCE RESOURCE ANALYSIS</t>
  </si>
  <si>
    <t>INITIATIVE 9: RESULTS-ORIENTED ACCOUNTABILITY REPORTING SYSTEM</t>
  </si>
  <si>
    <t>INITIATIVE 10:  CHILD WELFARE COMMUNITY DATA</t>
  </si>
  <si>
    <t>TOTAL EFFORT</t>
  </si>
  <si>
    <t>DCF Director of Quality and Performance</t>
  </si>
  <si>
    <t>INITIATIVE 9:  RESULTS-ORIENTED ACCOUNTABILITY REPORTING SYSTEM</t>
  </si>
  <si>
    <t>INITIATIVE 15:  RESULTS-ORIENTED ACCOUNTABILITY - FICW</t>
  </si>
  <si>
    <t>INITIATIVE 15:  RESULTS-ORIENTED ACCOUNTABILITY - FICW SUPPORT</t>
  </si>
  <si>
    <t>INITIATIVE 15: RESULTS-ORIENTED ACCOUNTABILITY - FICW SUPPORT</t>
  </si>
  <si>
    <t>INITIATIVE 14: RESEARCH AND EVIDENCE-INFORMED PRACTICE TRAINING DEVELOPMENT</t>
  </si>
  <si>
    <t>DCF - Director of Program Quality and Performance Management</t>
  </si>
  <si>
    <t>DCF - Director of Program Quality and Performance Management (Person Years)</t>
  </si>
  <si>
    <t>Oversee Program Quality and Performance Management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</si>
</sst>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"/>
    <numFmt numFmtId="167" formatCode="_(* #,##0.0_);_(* \(#,##0.0\);_(* &quot;-&quot;??_);_(@_)"/>
    <numFmt numFmtId="168" formatCode="_(&quot;$&quot;* #,##0_);_(&quot;$&quot;* \(#,##0\);_(&quot;$&quot;* &quot;-&quot;??_);_(@_)"/>
    <numFmt numFmtId="169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2" fillId="0" borderId="0" xfId="0" applyFont="1"/>
    <xf numFmtId="0" fontId="3" fillId="2" borderId="3" xfId="0" applyFont="1" applyFill="1" applyBorder="1"/>
    <xf numFmtId="0" fontId="2" fillId="0" borderId="3" xfId="0" applyFont="1" applyBorder="1"/>
    <xf numFmtId="164" fontId="2" fillId="0" borderId="3" xfId="2" applyNumberFormat="1" applyFont="1" applyBorder="1"/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wrapText="1"/>
    </xf>
    <xf numFmtId="44" fontId="2" fillId="0" borderId="3" xfId="1" applyFont="1" applyBorder="1"/>
    <xf numFmtId="0" fontId="2" fillId="0" borderId="3" xfId="0" applyFont="1" applyBorder="1" applyAlignment="1">
      <alignment wrapText="1"/>
    </xf>
    <xf numFmtId="44" fontId="2" fillId="0" borderId="3" xfId="0" applyNumberFormat="1" applyFont="1" applyBorder="1"/>
    <xf numFmtId="44" fontId="2" fillId="0" borderId="3" xfId="1" applyFont="1" applyFill="1" applyBorder="1"/>
    <xf numFmtId="0" fontId="2" fillId="0" borderId="8" xfId="0" applyFont="1" applyBorder="1"/>
    <xf numFmtId="0" fontId="2" fillId="0" borderId="12" xfId="0" applyFont="1" applyBorder="1"/>
    <xf numFmtId="0" fontId="2" fillId="0" borderId="7" xfId="0" applyFont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6" xfId="0" applyFont="1" applyBorder="1"/>
    <xf numFmtId="0" fontId="2" fillId="0" borderId="18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23" xfId="0" applyFont="1" applyBorder="1"/>
    <xf numFmtId="2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3" fillId="0" borderId="16" xfId="0" applyFont="1" applyBorder="1"/>
    <xf numFmtId="0" fontId="3" fillId="0" borderId="22" xfId="0" applyFont="1" applyBorder="1"/>
    <xf numFmtId="0" fontId="3" fillId="0" borderId="0" xfId="0" applyFont="1"/>
    <xf numFmtId="0" fontId="3" fillId="0" borderId="18" xfId="0" applyFont="1" applyBorder="1"/>
    <xf numFmtId="0" fontId="3" fillId="3" borderId="9" xfId="0" applyFont="1" applyFill="1" applyBorder="1"/>
    <xf numFmtId="0" fontId="3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7" fontId="3" fillId="3" borderId="9" xfId="1" applyNumberFormat="1" applyFont="1" applyFill="1" applyBorder="1"/>
    <xf numFmtId="7" fontId="3" fillId="3" borderId="19" xfId="1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0" borderId="11" xfId="0" applyFont="1" applyBorder="1"/>
    <xf numFmtId="0" fontId="2" fillId="0" borderId="5" xfId="0" applyFont="1" applyBorder="1"/>
    <xf numFmtId="7" fontId="2" fillId="0" borderId="0" xfId="0" applyNumberFormat="1" applyFont="1"/>
    <xf numFmtId="165" fontId="3" fillId="3" borderId="9" xfId="1" applyNumberFormat="1" applyFont="1" applyFill="1" applyBorder="1"/>
    <xf numFmtId="165" fontId="3" fillId="3" borderId="19" xfId="1" applyNumberFormat="1" applyFont="1" applyFill="1" applyBorder="1"/>
    <xf numFmtId="165" fontId="2" fillId="0" borderId="10" xfId="0" applyNumberFormat="1" applyFont="1" applyBorder="1"/>
    <xf numFmtId="165" fontId="2" fillId="0" borderId="15" xfId="0" applyNumberFormat="1" applyFont="1" applyBorder="1"/>
    <xf numFmtId="44" fontId="2" fillId="5" borderId="10" xfId="0" applyNumberFormat="1" applyFont="1" applyFill="1" applyBorder="1"/>
    <xf numFmtId="44" fontId="2" fillId="5" borderId="3" xfId="0" applyNumberFormat="1" applyFont="1" applyFill="1" applyBorder="1"/>
    <xf numFmtId="44" fontId="2" fillId="5" borderId="9" xfId="0" applyNumberFormat="1" applyFont="1" applyFill="1" applyBorder="1"/>
    <xf numFmtId="44" fontId="2" fillId="5" borderId="8" xfId="0" applyNumberFormat="1" applyFont="1" applyFill="1" applyBorder="1"/>
    <xf numFmtId="2" fontId="2" fillId="5" borderId="10" xfId="0" applyNumberFormat="1" applyFont="1" applyFill="1" applyBorder="1"/>
    <xf numFmtId="2" fontId="2" fillId="5" borderId="7" xfId="0" applyNumberFormat="1" applyFont="1" applyFill="1" applyBorder="1"/>
    <xf numFmtId="2" fontId="2" fillId="5" borderId="9" xfId="0" applyNumberFormat="1" applyFont="1" applyFill="1" applyBorder="1"/>
    <xf numFmtId="44" fontId="2" fillId="5" borderId="10" xfId="1" applyFont="1" applyFill="1" applyBorder="1"/>
    <xf numFmtId="2" fontId="2" fillId="5" borderId="3" xfId="0" applyNumberFormat="1" applyFont="1" applyFill="1" applyBorder="1"/>
    <xf numFmtId="7" fontId="2" fillId="5" borderId="10" xfId="1" applyNumberFormat="1" applyFont="1" applyFill="1" applyBorder="1"/>
    <xf numFmtId="7" fontId="2" fillId="5" borderId="3" xfId="1" applyNumberFormat="1" applyFont="1" applyFill="1" applyBorder="1"/>
    <xf numFmtId="7" fontId="2" fillId="5" borderId="8" xfId="1" applyNumberFormat="1" applyFont="1" applyFill="1" applyBorder="1"/>
    <xf numFmtId="165" fontId="2" fillId="5" borderId="10" xfId="1" applyNumberFormat="1" applyFont="1" applyFill="1" applyBorder="1"/>
    <xf numFmtId="165" fontId="2" fillId="5" borderId="3" xfId="0" applyNumberFormat="1" applyFont="1" applyFill="1" applyBorder="1"/>
    <xf numFmtId="165" fontId="2" fillId="5" borderId="8" xfId="0" applyNumberFormat="1" applyFont="1" applyFill="1" applyBorder="1"/>
    <xf numFmtId="165" fontId="2" fillId="5" borderId="10" xfId="0" applyNumberFormat="1" applyFont="1" applyFill="1" applyBorder="1"/>
    <xf numFmtId="7" fontId="2" fillId="5" borderId="26" xfId="1" applyNumberFormat="1" applyFont="1" applyFill="1" applyBorder="1"/>
    <xf numFmtId="7" fontId="2" fillId="5" borderId="7" xfId="1" applyNumberFormat="1" applyFont="1" applyFill="1" applyBorder="1"/>
    <xf numFmtId="165" fontId="2" fillId="5" borderId="3" xfId="1" applyNumberFormat="1" applyFont="1" applyFill="1" applyBorder="1"/>
    <xf numFmtId="165" fontId="2" fillId="5" borderId="9" xfId="1" applyNumberFormat="1" applyFont="1" applyFill="1" applyBorder="1"/>
    <xf numFmtId="44" fontId="2" fillId="6" borderId="10" xfId="1" applyFont="1" applyFill="1" applyBorder="1"/>
    <xf numFmtId="44" fontId="2" fillId="6" borderId="3" xfId="1" applyFont="1" applyFill="1" applyBorder="1"/>
    <xf numFmtId="44" fontId="2" fillId="6" borderId="3" xfId="0" applyNumberFormat="1" applyFont="1" applyFill="1" applyBorder="1"/>
    <xf numFmtId="44" fontId="2" fillId="6" borderId="9" xfId="0" applyNumberFormat="1" applyFont="1" applyFill="1" applyBorder="1"/>
    <xf numFmtId="44" fontId="2" fillId="6" borderId="8" xfId="1" applyFont="1" applyFill="1" applyBorder="1"/>
    <xf numFmtId="2" fontId="2" fillId="6" borderId="10" xfId="0" applyNumberFormat="1" applyFont="1" applyFill="1" applyBorder="1"/>
    <xf numFmtId="2" fontId="2" fillId="6" borderId="7" xfId="0" applyNumberFormat="1" applyFont="1" applyFill="1" applyBorder="1"/>
    <xf numFmtId="2" fontId="2" fillId="6" borderId="9" xfId="0" applyNumberFormat="1" applyFont="1" applyFill="1" applyBorder="1"/>
    <xf numFmtId="2" fontId="2" fillId="6" borderId="3" xfId="0" applyNumberFormat="1" applyFont="1" applyFill="1" applyBorder="1"/>
    <xf numFmtId="7" fontId="2" fillId="6" borderId="10" xfId="1" applyNumberFormat="1" applyFont="1" applyFill="1" applyBorder="1"/>
    <xf numFmtId="7" fontId="2" fillId="6" borderId="3" xfId="1" applyNumberFormat="1" applyFont="1" applyFill="1" applyBorder="1"/>
    <xf numFmtId="7" fontId="2" fillId="6" borderId="8" xfId="1" applyNumberFormat="1" applyFont="1" applyFill="1" applyBorder="1"/>
    <xf numFmtId="165" fontId="2" fillId="6" borderId="10" xfId="1" applyNumberFormat="1" applyFont="1" applyFill="1" applyBorder="1"/>
    <xf numFmtId="165" fontId="2" fillId="6" borderId="3" xfId="0" applyNumberFormat="1" applyFont="1" applyFill="1" applyBorder="1"/>
    <xf numFmtId="165" fontId="2" fillId="6" borderId="10" xfId="0" applyNumberFormat="1" applyFont="1" applyFill="1" applyBorder="1"/>
    <xf numFmtId="165" fontId="2" fillId="6" borderId="8" xfId="0" applyNumberFormat="1" applyFont="1" applyFill="1" applyBorder="1"/>
    <xf numFmtId="7" fontId="2" fillId="6" borderId="26" xfId="1" applyNumberFormat="1" applyFont="1" applyFill="1" applyBorder="1"/>
    <xf numFmtId="7" fontId="2" fillId="6" borderId="7" xfId="1" applyNumberFormat="1" applyFont="1" applyFill="1" applyBorder="1"/>
    <xf numFmtId="165" fontId="2" fillId="6" borderId="3" xfId="1" applyNumberFormat="1" applyFont="1" applyFill="1" applyBorder="1"/>
    <xf numFmtId="165" fontId="2" fillId="6" borderId="9" xfId="1" applyNumberFormat="1" applyFont="1" applyFill="1" applyBorder="1"/>
    <xf numFmtId="44" fontId="2" fillId="5" borderId="3" xfId="1" applyFont="1" applyFill="1" applyBorder="1"/>
    <xf numFmtId="44" fontId="2" fillId="5" borderId="8" xfId="1" applyFont="1" applyFill="1" applyBorder="1"/>
    <xf numFmtId="44" fontId="2" fillId="5" borderId="15" xfId="1" applyFont="1" applyFill="1" applyBorder="1"/>
    <xf numFmtId="44" fontId="2" fillId="5" borderId="17" xfId="1" applyFont="1" applyFill="1" applyBorder="1"/>
    <xf numFmtId="44" fontId="2" fillId="5" borderId="17" xfId="0" applyNumberFormat="1" applyFont="1" applyFill="1" applyBorder="1"/>
    <xf numFmtId="44" fontId="2" fillId="5" borderId="19" xfId="0" applyNumberFormat="1" applyFont="1" applyFill="1" applyBorder="1"/>
    <xf numFmtId="44" fontId="2" fillId="5" borderId="24" xfId="1" applyFont="1" applyFill="1" applyBorder="1"/>
    <xf numFmtId="2" fontId="2" fillId="5" borderId="15" xfId="0" applyNumberFormat="1" applyFont="1" applyFill="1" applyBorder="1"/>
    <xf numFmtId="2" fontId="2" fillId="5" borderId="25" xfId="0" applyNumberFormat="1" applyFont="1" applyFill="1" applyBorder="1"/>
    <xf numFmtId="2" fontId="2" fillId="5" borderId="19" xfId="0" applyNumberFormat="1" applyFont="1" applyFill="1" applyBorder="1"/>
    <xf numFmtId="2" fontId="2" fillId="5" borderId="17" xfId="0" applyNumberFormat="1" applyFont="1" applyFill="1" applyBorder="1"/>
    <xf numFmtId="7" fontId="2" fillId="5" borderId="15" xfId="1" applyNumberFormat="1" applyFont="1" applyFill="1" applyBorder="1"/>
    <xf numFmtId="7" fontId="2" fillId="5" borderId="17" xfId="1" applyNumberFormat="1" applyFont="1" applyFill="1" applyBorder="1"/>
    <xf numFmtId="165" fontId="2" fillId="5" borderId="17" xfId="0" applyNumberFormat="1" applyFont="1" applyFill="1" applyBorder="1"/>
    <xf numFmtId="165" fontId="2" fillId="5" borderId="24" xfId="0" applyNumberFormat="1" applyFont="1" applyFill="1" applyBorder="1"/>
    <xf numFmtId="7" fontId="2" fillId="5" borderId="27" xfId="1" applyNumberFormat="1" applyFont="1" applyFill="1" applyBorder="1"/>
    <xf numFmtId="7" fontId="2" fillId="5" borderId="25" xfId="1" applyNumberFormat="1" applyFont="1" applyFill="1" applyBorder="1"/>
    <xf numFmtId="165" fontId="2" fillId="5" borderId="17" xfId="1" applyNumberFormat="1" applyFont="1" applyFill="1" applyBorder="1"/>
    <xf numFmtId="165" fontId="2" fillId="5" borderId="19" xfId="1" applyNumberFormat="1" applyFont="1" applyFill="1" applyBorder="1"/>
    <xf numFmtId="165" fontId="2" fillId="5" borderId="15" xfId="1" applyNumberFormat="1" applyFont="1" applyFill="1" applyBorder="1"/>
    <xf numFmtId="165" fontId="2" fillId="5" borderId="15" xfId="0" applyNumberFormat="1" applyFont="1" applyFill="1" applyBorder="1"/>
    <xf numFmtId="0" fontId="3" fillId="3" borderId="11" xfId="0" applyFont="1" applyFill="1" applyBorder="1"/>
    <xf numFmtId="0" fontId="3" fillId="3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3" xfId="0" applyFont="1" applyFill="1" applyBorder="1"/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7" fontId="3" fillId="3" borderId="10" xfId="1" applyNumberFormat="1" applyFont="1" applyFill="1" applyBorder="1"/>
    <xf numFmtId="7" fontId="3" fillId="3" borderId="15" xfId="1" applyNumberFormat="1" applyFont="1" applyFill="1" applyBorder="1"/>
    <xf numFmtId="7" fontId="3" fillId="3" borderId="26" xfId="1" applyNumberFormat="1" applyFont="1" applyFill="1" applyBorder="1"/>
    <xf numFmtId="7" fontId="3" fillId="3" borderId="27" xfId="1" applyNumberFormat="1" applyFont="1" applyFill="1" applyBorder="1"/>
    <xf numFmtId="0" fontId="4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7" fontId="3" fillId="3" borderId="33" xfId="1" applyNumberFormat="1" applyFont="1" applyFill="1" applyBorder="1"/>
    <xf numFmtId="0" fontId="3" fillId="3" borderId="32" xfId="0" applyFont="1" applyFill="1" applyBorder="1" applyAlignment="1">
      <alignment horizontal="center"/>
    </xf>
    <xf numFmtId="7" fontId="3" fillId="3" borderId="34" xfId="1" applyNumberFormat="1" applyFont="1" applyFill="1" applyBorder="1"/>
    <xf numFmtId="0" fontId="2" fillId="0" borderId="26" xfId="0" applyFont="1" applyBorder="1" applyAlignment="1">
      <alignment horizontal="left"/>
    </xf>
    <xf numFmtId="2" fontId="2" fillId="5" borderId="8" xfId="0" applyNumberFormat="1" applyFont="1" applyFill="1" applyBorder="1"/>
    <xf numFmtId="2" fontId="2" fillId="6" borderId="8" xfId="0" applyNumberFormat="1" applyFont="1" applyFill="1" applyBorder="1"/>
    <xf numFmtId="2" fontId="2" fillId="5" borderId="24" xfId="0" applyNumberFormat="1" applyFont="1" applyFill="1" applyBorder="1"/>
    <xf numFmtId="0" fontId="2" fillId="0" borderId="7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30" xfId="0" applyFont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3" borderId="26" xfId="0" applyFont="1" applyFill="1" applyBorder="1"/>
    <xf numFmtId="0" fontId="3" fillId="0" borderId="5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7" fontId="3" fillId="5" borderId="3" xfId="1" applyNumberFormat="1" applyFont="1" applyFill="1" applyBorder="1"/>
    <xf numFmtId="7" fontId="3" fillId="6" borderId="3" xfId="1" applyNumberFormat="1" applyFont="1" applyFill="1" applyBorder="1"/>
    <xf numFmtId="7" fontId="3" fillId="5" borderId="17" xfId="1" applyNumberFormat="1" applyFont="1" applyFill="1" applyBorder="1"/>
    <xf numFmtId="0" fontId="3" fillId="0" borderId="28" xfId="0" applyFont="1" applyBorder="1"/>
    <xf numFmtId="0" fontId="3" fillId="0" borderId="20" xfId="0" applyFont="1" applyBorder="1"/>
    <xf numFmtId="0" fontId="3" fillId="0" borderId="29" xfId="0" applyFont="1" applyBorder="1"/>
    <xf numFmtId="0" fontId="3" fillId="0" borderId="21" xfId="0" applyFont="1" applyBorder="1"/>
    <xf numFmtId="0" fontId="3" fillId="0" borderId="13" xfId="0" applyFont="1" applyBorder="1"/>
    <xf numFmtId="44" fontId="2" fillId="6" borderId="9" xfId="1" applyFont="1" applyFill="1" applyBorder="1"/>
    <xf numFmtId="44" fontId="2" fillId="5" borderId="9" xfId="1" applyFont="1" applyFill="1" applyBorder="1"/>
    <xf numFmtId="44" fontId="2" fillId="5" borderId="19" xfId="1" applyFont="1" applyFill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7" fontId="2" fillId="5" borderId="24" xfId="1" applyNumberFormat="1" applyFont="1" applyFill="1" applyBorder="1"/>
    <xf numFmtId="165" fontId="2" fillId="5" borderId="1" xfId="0" applyNumberFormat="1" applyFont="1" applyFill="1" applyBorder="1"/>
    <xf numFmtId="0" fontId="3" fillId="3" borderId="3" xfId="0" applyFont="1" applyFill="1" applyBorder="1"/>
    <xf numFmtId="0" fontId="4" fillId="3" borderId="37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5" fontId="3" fillId="6" borderId="10" xfId="0" applyNumberFormat="1" applyFont="1" applyFill="1" applyBorder="1" applyAlignment="1"/>
    <xf numFmtId="5" fontId="2" fillId="6" borderId="3" xfId="0" applyNumberFormat="1" applyFont="1" applyFill="1" applyBorder="1" applyAlignment="1">
      <alignment horizontal="right"/>
    </xf>
    <xf numFmtId="5" fontId="2" fillId="6" borderId="9" xfId="0" applyNumberFormat="1" applyFont="1" applyFill="1" applyBorder="1" applyAlignment="1">
      <alignment horizontal="right"/>
    </xf>
    <xf numFmtId="5" fontId="3" fillId="6" borderId="11" xfId="0" applyNumberFormat="1" applyFont="1" applyFill="1" applyBorder="1" applyAlignment="1"/>
    <xf numFmtId="5" fontId="2" fillId="6" borderId="5" xfId="0" applyNumberFormat="1" applyFont="1" applyFill="1" applyBorder="1" applyAlignment="1">
      <alignment horizontal="right"/>
    </xf>
    <xf numFmtId="5" fontId="2" fillId="6" borderId="23" xfId="0" applyNumberFormat="1" applyFont="1" applyFill="1" applyBorder="1" applyAlignment="1">
      <alignment horizontal="right"/>
    </xf>
    <xf numFmtId="5" fontId="3" fillId="6" borderId="5" xfId="0" applyNumberFormat="1" applyFont="1" applyFill="1" applyBorder="1" applyAlignment="1">
      <alignment horizontal="right"/>
    </xf>
    <xf numFmtId="5" fontId="3" fillId="6" borderId="3" xfId="0" applyNumberFormat="1" applyFont="1" applyFill="1" applyBorder="1" applyAlignment="1">
      <alignment horizontal="right"/>
    </xf>
    <xf numFmtId="0" fontId="5" fillId="0" borderId="0" xfId="0" applyFont="1"/>
    <xf numFmtId="5" fontId="2" fillId="6" borderId="8" xfId="0" applyNumberFormat="1" applyFont="1" applyFill="1" applyBorder="1" applyAlignment="1">
      <alignment horizontal="right"/>
    </xf>
    <xf numFmtId="5" fontId="2" fillId="6" borderId="38" xfId="0" applyNumberFormat="1" applyFont="1" applyFill="1" applyBorder="1" applyAlignment="1">
      <alignment horizontal="right"/>
    </xf>
    <xf numFmtId="5" fontId="3" fillId="6" borderId="14" xfId="0" applyNumberFormat="1" applyFont="1" applyFill="1" applyBorder="1" applyAlignment="1"/>
    <xf numFmtId="5" fontId="3" fillId="6" borderId="33" xfId="0" applyNumberFormat="1" applyFont="1" applyFill="1" applyBorder="1" applyAlignment="1"/>
    <xf numFmtId="0" fontId="3" fillId="3" borderId="36" xfId="0" applyFont="1" applyFill="1" applyBorder="1"/>
    <xf numFmtId="5" fontId="3" fillId="3" borderId="36" xfId="0" applyNumberFormat="1" applyFont="1" applyFill="1" applyBorder="1" applyAlignment="1">
      <alignment horizontal="right"/>
    </xf>
    <xf numFmtId="5" fontId="0" fillId="0" borderId="0" xfId="0" applyNumberFormat="1"/>
    <xf numFmtId="0" fontId="4" fillId="5" borderId="1" xfId="0" applyFont="1" applyFill="1" applyBorder="1"/>
    <xf numFmtId="0" fontId="2" fillId="5" borderId="4" xfId="0" applyFont="1" applyFill="1" applyBorder="1"/>
    <xf numFmtId="0" fontId="2" fillId="5" borderId="2" xfId="0" applyFont="1" applyFill="1" applyBorder="1" applyAlignment="1">
      <alignment wrapText="1"/>
    </xf>
    <xf numFmtId="0" fontId="6" fillId="5" borderId="2" xfId="0" applyFont="1" applyFill="1" applyBorder="1"/>
    <xf numFmtId="0" fontId="0" fillId="0" borderId="0" xfId="0" applyAlignment="1">
      <alignment horizontal="left"/>
    </xf>
    <xf numFmtId="0" fontId="5" fillId="3" borderId="28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 vertical="center"/>
    </xf>
    <xf numFmtId="5" fontId="0" fillId="0" borderId="40" xfId="0" applyNumberFormat="1" applyBorder="1"/>
    <xf numFmtId="5" fontId="0" fillId="0" borderId="41" xfId="0" applyNumberFormat="1" applyBorder="1"/>
    <xf numFmtId="5" fontId="3" fillId="3" borderId="30" xfId="0" applyNumberFormat="1" applyFont="1" applyFill="1" applyBorder="1"/>
    <xf numFmtId="166" fontId="4" fillId="3" borderId="35" xfId="0" applyNumberFormat="1" applyFont="1" applyFill="1" applyBorder="1" applyAlignment="1">
      <alignment horizontal="center" vertical="center"/>
    </xf>
    <xf numFmtId="166" fontId="3" fillId="5" borderId="10" xfId="0" applyNumberFormat="1" applyFont="1" applyFill="1" applyBorder="1" applyAlignment="1">
      <alignment horizontal="center"/>
    </xf>
    <xf numFmtId="166" fontId="2" fillId="5" borderId="3" xfId="3" applyNumberFormat="1" applyFont="1" applyFill="1" applyBorder="1"/>
    <xf numFmtId="166" fontId="3" fillId="5" borderId="3" xfId="3" applyNumberFormat="1" applyFont="1" applyFill="1" applyBorder="1"/>
    <xf numFmtId="166" fontId="2" fillId="5" borderId="9" xfId="3" applyNumberFormat="1" applyFont="1" applyFill="1" applyBorder="1"/>
    <xf numFmtId="166" fontId="2" fillId="5" borderId="8" xfId="3" applyNumberFormat="1" applyFont="1" applyFill="1" applyBorder="1"/>
    <xf numFmtId="166" fontId="3" fillId="5" borderId="31" xfId="0" applyNumberFormat="1" applyFont="1" applyFill="1" applyBorder="1" applyAlignment="1">
      <alignment horizontal="center"/>
    </xf>
    <xf numFmtId="166" fontId="0" fillId="0" borderId="0" xfId="0" applyNumberFormat="1"/>
    <xf numFmtId="166" fontId="3" fillId="5" borderId="14" xfId="0" applyNumberFormat="1" applyFont="1" applyFill="1" applyBorder="1" applyAlignment="1">
      <alignment horizontal="center"/>
    </xf>
    <xf numFmtId="166" fontId="3" fillId="5" borderId="15" xfId="0" applyNumberFormat="1" applyFont="1" applyFill="1" applyBorder="1" applyAlignment="1">
      <alignment horizontal="center"/>
    </xf>
    <xf numFmtId="166" fontId="2" fillId="5" borderId="17" xfId="3" applyNumberFormat="1" applyFont="1" applyFill="1" applyBorder="1"/>
    <xf numFmtId="166" fontId="3" fillId="5" borderId="17" xfId="3" applyNumberFormat="1" applyFont="1" applyFill="1" applyBorder="1"/>
    <xf numFmtId="166" fontId="2" fillId="5" borderId="19" xfId="3" applyNumberFormat="1" applyFont="1" applyFill="1" applyBorder="1"/>
    <xf numFmtId="166" fontId="2" fillId="5" borderId="24" xfId="3" applyNumberFormat="1" applyFont="1" applyFill="1" applyBorder="1"/>
    <xf numFmtId="0" fontId="2" fillId="0" borderId="33" xfId="0" applyFont="1" applyBorder="1" applyAlignment="1">
      <alignment horizontal="left"/>
    </xf>
    <xf numFmtId="43" fontId="2" fillId="0" borderId="0" xfId="3" applyFont="1"/>
    <xf numFmtId="44" fontId="2" fillId="0" borderId="0" xfId="0" applyNumberFormat="1" applyFont="1"/>
    <xf numFmtId="5" fontId="2" fillId="6" borderId="3" xfId="0" applyNumberFormat="1" applyFont="1" applyFill="1" applyBorder="1" applyAlignment="1"/>
    <xf numFmtId="0" fontId="2" fillId="0" borderId="43" xfId="0" applyFont="1" applyBorder="1" applyAlignment="1">
      <alignment horizontal="left"/>
    </xf>
    <xf numFmtId="0" fontId="2" fillId="0" borderId="9" xfId="0" applyFont="1" applyFill="1" applyBorder="1"/>
    <xf numFmtId="167" fontId="3" fillId="3" borderId="36" xfId="3" applyNumberFormat="1" applyFont="1" applyFill="1" applyBorder="1" applyAlignment="1">
      <alignment horizontal="right"/>
    </xf>
    <xf numFmtId="0" fontId="2" fillId="0" borderId="7" xfId="0" applyFont="1" applyFill="1" applyBorder="1"/>
    <xf numFmtId="0" fontId="2" fillId="0" borderId="12" xfId="0" applyFont="1" applyFill="1" applyBorder="1"/>
    <xf numFmtId="5" fontId="0" fillId="0" borderId="0" xfId="0" applyNumberFormat="1" applyAlignment="1">
      <alignment horizontal="right"/>
    </xf>
    <xf numFmtId="7" fontId="0" fillId="0" borderId="0" xfId="0" applyNumberFormat="1" applyAlignment="1">
      <alignment horizontal="right"/>
    </xf>
    <xf numFmtId="168" fontId="0" fillId="0" borderId="0" xfId="1" applyNumberFormat="1" applyFont="1" applyAlignment="1">
      <alignment horizontal="right"/>
    </xf>
    <xf numFmtId="0" fontId="3" fillId="3" borderId="28" xfId="0" applyFont="1" applyFill="1" applyBorder="1"/>
    <xf numFmtId="0" fontId="3" fillId="3" borderId="30" xfId="0" applyFont="1" applyFill="1" applyBorder="1"/>
    <xf numFmtId="0" fontId="3" fillId="4" borderId="39" xfId="0" applyFont="1" applyFill="1" applyBorder="1"/>
    <xf numFmtId="0" fontId="2" fillId="0" borderId="40" xfId="0" applyFont="1" applyBorder="1"/>
    <xf numFmtId="0" fontId="3" fillId="0" borderId="40" xfId="0" applyFont="1" applyBorder="1"/>
    <xf numFmtId="0" fontId="2" fillId="0" borderId="41" xfId="0" applyFont="1" applyBorder="1"/>
    <xf numFmtId="169" fontId="2" fillId="0" borderId="3" xfId="0" applyNumberFormat="1" applyFont="1" applyBorder="1"/>
    <xf numFmtId="2" fontId="2" fillId="5" borderId="3" xfId="3" applyNumberFormat="1" applyFont="1" applyFill="1" applyBorder="1"/>
    <xf numFmtId="0" fontId="4" fillId="3" borderId="36" xfId="0" applyFont="1" applyFill="1" applyBorder="1" applyAlignment="1">
      <alignment horizontal="center" vertical="center"/>
    </xf>
    <xf numFmtId="0" fontId="2" fillId="4" borderId="40" xfId="0" applyFont="1" applyFill="1" applyBorder="1"/>
    <xf numFmtId="0" fontId="3" fillId="4" borderId="40" xfId="0" applyFont="1" applyFill="1" applyBorder="1"/>
    <xf numFmtId="0" fontId="2" fillId="4" borderId="41" xfId="0" applyFont="1" applyFill="1" applyBorder="1"/>
    <xf numFmtId="5" fontId="5" fillId="0" borderId="36" xfId="0" applyNumberFormat="1" applyFont="1" applyBorder="1"/>
    <xf numFmtId="5" fontId="0" fillId="0" borderId="36" xfId="0" applyNumberFormat="1" applyBorder="1"/>
    <xf numFmtId="5" fontId="0" fillId="0" borderId="42" xfId="0" applyNumberFormat="1" applyBorder="1"/>
    <xf numFmtId="166" fontId="3" fillId="0" borderId="10" xfId="0" applyNumberFormat="1" applyFont="1" applyFill="1" applyBorder="1" applyAlignment="1">
      <alignment horizontal="center"/>
    </xf>
    <xf numFmtId="166" fontId="3" fillId="0" borderId="15" xfId="0" applyNumberFormat="1" applyFont="1" applyFill="1" applyBorder="1" applyAlignment="1">
      <alignment horizontal="center"/>
    </xf>
    <xf numFmtId="166" fontId="2" fillId="0" borderId="3" xfId="3" applyNumberFormat="1" applyFont="1" applyFill="1" applyBorder="1"/>
    <xf numFmtId="166" fontId="2" fillId="0" borderId="17" xfId="3" applyNumberFormat="1" applyFont="1" applyFill="1" applyBorder="1"/>
    <xf numFmtId="166" fontId="3" fillId="3" borderId="10" xfId="0" applyNumberFormat="1" applyFont="1" applyFill="1" applyBorder="1" applyAlignment="1">
      <alignment horizontal="right"/>
    </xf>
    <xf numFmtId="166" fontId="3" fillId="3" borderId="15" xfId="0" applyNumberFormat="1" applyFont="1" applyFill="1" applyBorder="1" applyAlignment="1">
      <alignment horizontal="right"/>
    </xf>
    <xf numFmtId="0" fontId="2" fillId="0" borderId="42" xfId="0" applyFont="1" applyBorder="1"/>
    <xf numFmtId="166" fontId="2" fillId="4" borderId="14" xfId="0" applyNumberFormat="1" applyFont="1" applyFill="1" applyBorder="1" applyAlignment="1">
      <alignment horizontal="right"/>
    </xf>
    <xf numFmtId="166" fontId="2" fillId="4" borderId="44" xfId="0" applyNumberFormat="1" applyFont="1" applyFill="1" applyBorder="1" applyAlignment="1">
      <alignment horizontal="right"/>
    </xf>
    <xf numFmtId="166" fontId="2" fillId="4" borderId="5" xfId="0" applyNumberFormat="1" applyFont="1" applyFill="1" applyBorder="1" applyAlignment="1">
      <alignment horizontal="right"/>
    </xf>
    <xf numFmtId="166" fontId="2" fillId="4" borderId="3" xfId="0" applyNumberFormat="1" applyFont="1" applyFill="1" applyBorder="1" applyAlignment="1">
      <alignment horizontal="right"/>
    </xf>
    <xf numFmtId="166" fontId="2" fillId="4" borderId="17" xfId="0" applyNumberFormat="1" applyFont="1" applyFill="1" applyBorder="1" applyAlignment="1">
      <alignment horizontal="right"/>
    </xf>
    <xf numFmtId="166" fontId="2" fillId="4" borderId="26" xfId="0" applyNumberFormat="1" applyFont="1" applyFill="1" applyBorder="1" applyAlignment="1">
      <alignment horizontal="right"/>
    </xf>
    <xf numFmtId="166" fontId="2" fillId="4" borderId="27" xfId="0" applyNumberFormat="1" applyFont="1" applyFill="1" applyBorder="1" applyAlignment="1">
      <alignment horizontal="right"/>
    </xf>
    <xf numFmtId="166" fontId="2" fillId="0" borderId="3" xfId="3" applyNumberFormat="1" applyFont="1" applyFill="1" applyBorder="1" applyAlignment="1"/>
    <xf numFmtId="166" fontId="2" fillId="0" borderId="17" xfId="3" applyNumberFormat="1" applyFont="1" applyFill="1" applyBorder="1" applyAlignment="1"/>
    <xf numFmtId="0" fontId="3" fillId="0" borderId="39" xfId="0" applyFont="1" applyFill="1" applyBorder="1"/>
    <xf numFmtId="2" fontId="2" fillId="6" borderId="2" xfId="0" applyNumberFormat="1" applyFont="1" applyFill="1" applyBorder="1"/>
    <xf numFmtId="2" fontId="2" fillId="6" borderId="45" xfId="0" applyNumberFormat="1" applyFont="1" applyFill="1" applyBorder="1"/>
    <xf numFmtId="167" fontId="0" fillId="0" borderId="0" xfId="3" applyNumberFormat="1" applyFont="1" applyAlignment="1">
      <alignment horizontal="right"/>
    </xf>
    <xf numFmtId="0" fontId="4" fillId="3" borderId="36" xfId="0" applyFont="1" applyFill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non-denise/AppData/Local/Microsoft/Windows/Temporary%20Internet%20Files/Content.Outlook/N0UQI65Z/DCF23%20-%20CW%20Results%20Plan/DCF23%20-%20CW%20Results%20Plan/Copy%20of%20140409-DOF05-Final-FLAIR-Study-D5-CH2-Model-v1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st Model Comments"/>
      <sheetName val="Values"/>
      <sheetName val="Assumptions"/>
      <sheetName val="Sheet2"/>
      <sheetName val="Summary Sheet"/>
      <sheetName val="INIT 1"/>
      <sheetName val="Option 1"/>
      <sheetName val="Option 2"/>
      <sheetName val="Option 3"/>
      <sheetName val="Option 4"/>
      <sheetName val="Resources Plan"/>
      <sheetName val="Resource Needs"/>
      <sheetName val="4B - Tab 1"/>
      <sheetName val="4B - Tab 2"/>
      <sheetName val="4B - Tab 3"/>
      <sheetName val="4B - Tab 4"/>
      <sheetName val="Data Validation"/>
      <sheetName val="GT_Custom"/>
    </sheetNames>
    <sheetDataSet>
      <sheetData sheetId="0"/>
      <sheetData sheetId="1"/>
      <sheetData sheetId="2"/>
      <sheetData sheetId="3">
        <row r="2">
          <cell r="B2">
            <v>52</v>
          </cell>
        </row>
        <row r="3">
          <cell r="B3">
            <v>40</v>
          </cell>
        </row>
        <row r="5">
          <cell r="B5">
            <v>1500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H5" t="str">
            <v>FY 14-15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L162"/>
  <sheetViews>
    <sheetView tabSelected="1" zoomScale="80" zoomScaleNormal="80" workbookViewId="0">
      <selection activeCell="E191" sqref="E191"/>
    </sheetView>
  </sheetViews>
  <sheetFormatPr defaultRowHeight="15" outlineLevelRow="1" x14ac:dyDescent="0.25"/>
  <cols>
    <col min="1" max="1" width="72.42578125" bestFit="1" customWidth="1"/>
    <col min="2" max="2" width="14.28515625" style="179" bestFit="1" customWidth="1"/>
    <col min="3" max="3" width="10.140625" style="213" bestFit="1" customWidth="1"/>
    <col min="4" max="4" width="14.28515625" bestFit="1" customWidth="1"/>
    <col min="5" max="5" width="10.140625" style="213" bestFit="1" customWidth="1"/>
    <col min="6" max="6" width="14.28515625" bestFit="1" customWidth="1"/>
    <col min="7" max="7" width="10.140625" style="213" bestFit="1" customWidth="1"/>
    <col min="8" max="8" width="14.28515625" bestFit="1" customWidth="1"/>
    <col min="9" max="9" width="10.140625" style="213" bestFit="1" customWidth="1"/>
    <col min="10" max="10" width="14.28515625" bestFit="1" customWidth="1"/>
    <col min="11" max="11" width="10.140625" style="213" bestFit="1" customWidth="1"/>
    <col min="12" max="12" width="13.85546875" customWidth="1"/>
  </cols>
  <sheetData>
    <row r="1" spans="1:12" ht="15.75" thickBot="1" x14ac:dyDescent="0.3">
      <c r="A1" s="232" t="s">
        <v>127</v>
      </c>
      <c r="B1" s="267" t="s">
        <v>23</v>
      </c>
      <c r="C1" s="267"/>
      <c r="D1" s="267" t="s">
        <v>24</v>
      </c>
      <c r="E1" s="267"/>
      <c r="F1" s="267" t="s">
        <v>25</v>
      </c>
      <c r="G1" s="267"/>
      <c r="H1" s="267" t="s">
        <v>26</v>
      </c>
      <c r="I1" s="267"/>
      <c r="J1" s="267" t="s">
        <v>27</v>
      </c>
      <c r="K1" s="267"/>
      <c r="L1" s="201" t="s">
        <v>120</v>
      </c>
    </row>
    <row r="2" spans="1:12" ht="15.75" thickBot="1" x14ac:dyDescent="0.3">
      <c r="A2" s="233"/>
      <c r="B2" s="178" t="s">
        <v>327</v>
      </c>
      <c r="C2" s="206" t="s">
        <v>445</v>
      </c>
      <c r="D2" s="178" t="s">
        <v>327</v>
      </c>
      <c r="E2" s="206" t="s">
        <v>445</v>
      </c>
      <c r="F2" s="178" t="s">
        <v>327</v>
      </c>
      <c r="G2" s="206" t="s">
        <v>445</v>
      </c>
      <c r="H2" s="178" t="s">
        <v>327</v>
      </c>
      <c r="I2" s="206" t="s">
        <v>445</v>
      </c>
      <c r="J2" s="178" t="s">
        <v>327</v>
      </c>
      <c r="K2" s="206" t="s">
        <v>445</v>
      </c>
      <c r="L2" s="202"/>
    </row>
    <row r="3" spans="1:12" s="188" customFormat="1" ht="15.75" thickBot="1" x14ac:dyDescent="0.3">
      <c r="A3" s="234" t="s">
        <v>446</v>
      </c>
      <c r="B3" s="183">
        <f>'Init 1'!G108</f>
        <v>1750248</v>
      </c>
      <c r="C3" s="207">
        <f>SUM(C4:C10,C12)</f>
        <v>7.1923076923076925</v>
      </c>
      <c r="D3" s="180">
        <f>'Init 1'!H108</f>
        <v>1754043.8299999998</v>
      </c>
      <c r="E3" s="207">
        <f>SUM(E4:E10,E12)</f>
        <v>6</v>
      </c>
      <c r="F3" s="180">
        <f>'Init 1'!I108</f>
        <v>1780354.4874499994</v>
      </c>
      <c r="G3" s="207">
        <f>SUM(G4:G10,G12)</f>
        <v>6</v>
      </c>
      <c r="H3" s="180">
        <f>'Init 1'!J108</f>
        <v>1563023.5683177495</v>
      </c>
      <c r="I3" s="207">
        <f>SUM(I4:I10,I12)</f>
        <v>5</v>
      </c>
      <c r="J3" s="180">
        <f>'Init 1'!K108</f>
        <v>1586468.9218425155</v>
      </c>
      <c r="K3" s="215">
        <f>SUM(K4:K10,K12)</f>
        <v>5</v>
      </c>
      <c r="L3" s="244">
        <f t="shared" ref="L3:L13" si="0">B3+D3+F3+H3+J3</f>
        <v>8434138.8076102659</v>
      </c>
    </row>
    <row r="4" spans="1:12" ht="15.75" hidden="1" outlineLevel="1" thickBot="1" x14ac:dyDescent="0.3">
      <c r="A4" s="241" t="s">
        <v>110</v>
      </c>
      <c r="B4" s="184">
        <f>'Init 1'!G110</f>
        <v>360528</v>
      </c>
      <c r="C4" s="208">
        <f>'Init 1'!G19+'Init 1'!G20+'Init 1'!G21+'Init 1'!G22</f>
        <v>3.875</v>
      </c>
      <c r="D4" s="181">
        <f>'Init 1'!H110</f>
        <v>281211.83999999997</v>
      </c>
      <c r="E4" s="208">
        <f>'Init 1'!H19+'Init 1'!H20+'Init 1'!H21+'Init 1'!H22</f>
        <v>3</v>
      </c>
      <c r="F4" s="181">
        <f>'Init 1'!I110</f>
        <v>285430.01759999996</v>
      </c>
      <c r="G4" s="208">
        <f>'Init 1'!I19+'Init 1'!I20+'Init 1'!I21+'Init 1'!I22</f>
        <v>3</v>
      </c>
      <c r="H4" s="181">
        <f>'Init 1'!J110</f>
        <v>241426.22321999996</v>
      </c>
      <c r="I4" s="208">
        <f>'Init 1'!J19+'Init 1'!J20+'Init 1'!J21+'Init 1'!J22</f>
        <v>2.5</v>
      </c>
      <c r="J4" s="181">
        <f>'Init 1'!K110</f>
        <v>245047.61656829994</v>
      </c>
      <c r="K4" s="216">
        <f>'Init 1'!K19+'Init 1'!K20+'Init 1'!K21+'Init 1'!K22</f>
        <v>2.5</v>
      </c>
      <c r="L4" s="245">
        <f t="shared" si="0"/>
        <v>1413643.6973883</v>
      </c>
    </row>
    <row r="5" spans="1:12" ht="15.75" hidden="1" outlineLevel="1" thickBot="1" x14ac:dyDescent="0.3">
      <c r="A5" s="241" t="s">
        <v>111</v>
      </c>
      <c r="B5" s="184">
        <f>'Init 1'!G111</f>
        <v>0</v>
      </c>
      <c r="C5" s="208">
        <f>'Init 1'!G23</f>
        <v>0</v>
      </c>
      <c r="D5" s="181">
        <f>'Init 1'!H111</f>
        <v>0</v>
      </c>
      <c r="E5" s="208">
        <f>'Init 1'!H23</f>
        <v>0</v>
      </c>
      <c r="F5" s="181">
        <f>'Init 1'!I111</f>
        <v>0</v>
      </c>
      <c r="G5" s="208">
        <f>'Init 1'!I23</f>
        <v>0</v>
      </c>
      <c r="H5" s="181">
        <f>'Init 1'!J111</f>
        <v>0</v>
      </c>
      <c r="I5" s="208">
        <f>'Init 1'!J23</f>
        <v>0</v>
      </c>
      <c r="J5" s="181">
        <f>'Init 1'!K111</f>
        <v>0</v>
      </c>
      <c r="K5" s="216">
        <f>'Init 1'!K23</f>
        <v>0</v>
      </c>
      <c r="L5" s="245">
        <f t="shared" si="0"/>
        <v>0</v>
      </c>
    </row>
    <row r="6" spans="1:12" ht="15.75" hidden="1" outlineLevel="1" thickBot="1" x14ac:dyDescent="0.3">
      <c r="A6" s="241" t="s">
        <v>112</v>
      </c>
      <c r="B6" s="184">
        <f>'Init 1'!G112</f>
        <v>0</v>
      </c>
      <c r="C6" s="208">
        <f>'Init 1'!G24</f>
        <v>0</v>
      </c>
      <c r="D6" s="181">
        <f>'Init 1'!H112</f>
        <v>0</v>
      </c>
      <c r="E6" s="208">
        <f>'Init 1'!H24</f>
        <v>0</v>
      </c>
      <c r="F6" s="181">
        <f>'Init 1'!I112</f>
        <v>0</v>
      </c>
      <c r="G6" s="208">
        <f>'Init 1'!I24</f>
        <v>0</v>
      </c>
      <c r="H6" s="181">
        <f>'Init 1'!J112</f>
        <v>0</v>
      </c>
      <c r="I6" s="208">
        <f>'Init 1'!J24</f>
        <v>0</v>
      </c>
      <c r="J6" s="181">
        <f>'Init 1'!K112</f>
        <v>0</v>
      </c>
      <c r="K6" s="216">
        <f>'Init 1'!K24</f>
        <v>0</v>
      </c>
      <c r="L6" s="245">
        <f t="shared" si="0"/>
        <v>0</v>
      </c>
    </row>
    <row r="7" spans="1:12" ht="15.75" hidden="1" outlineLevel="1" thickBot="1" x14ac:dyDescent="0.3">
      <c r="A7" s="241" t="s">
        <v>113</v>
      </c>
      <c r="B7" s="184">
        <f>'Init 1'!G113</f>
        <v>0</v>
      </c>
      <c r="C7" s="208">
        <f>'Init 1'!G25+'Init 1'!G26</f>
        <v>0</v>
      </c>
      <c r="D7" s="181">
        <f>'Init 1'!H113</f>
        <v>0</v>
      </c>
      <c r="E7" s="208">
        <f>'Init 1'!H25+'Init 1'!H26</f>
        <v>0</v>
      </c>
      <c r="F7" s="181">
        <f>'Init 1'!I113</f>
        <v>0</v>
      </c>
      <c r="G7" s="208">
        <f>'Init 1'!I25+'Init 1'!I26</f>
        <v>0</v>
      </c>
      <c r="H7" s="181">
        <f>'Init 1'!J113</f>
        <v>0</v>
      </c>
      <c r="I7" s="208">
        <f>'Init 1'!J25+'Init 1'!J26</f>
        <v>0</v>
      </c>
      <c r="J7" s="181">
        <f>'Init 1'!K113</f>
        <v>0</v>
      </c>
      <c r="K7" s="216">
        <f>'Init 1'!K25+'Init 1'!K26</f>
        <v>0</v>
      </c>
      <c r="L7" s="245">
        <f t="shared" si="0"/>
        <v>0</v>
      </c>
    </row>
    <row r="8" spans="1:12" ht="15.75" hidden="1" outlineLevel="1" thickBot="1" x14ac:dyDescent="0.3">
      <c r="A8" s="241" t="s">
        <v>49</v>
      </c>
      <c r="B8" s="184">
        <f>'Init 1'!G114</f>
        <v>1307600</v>
      </c>
      <c r="C8" s="208">
        <f>'Init 1'!G27+'Init 1'!G28+'Init 1'!G29+'Init 1'!G30</f>
        <v>3.3173076923076925</v>
      </c>
      <c r="D8" s="181">
        <f>'Init 1'!H114</f>
        <v>1435616</v>
      </c>
      <c r="E8" s="208">
        <f>'Init 1'!H27+'Init 1'!H28+'Init 1'!H29+'Init 1'!H30</f>
        <v>3</v>
      </c>
      <c r="F8" s="181">
        <f>'Init 1'!I114</f>
        <v>1457150.2399999998</v>
      </c>
      <c r="G8" s="208">
        <f>'Init 1'!I27+'Init 1'!I28+'Init 1'!I29+'Init 1'!I30</f>
        <v>3</v>
      </c>
      <c r="H8" s="181">
        <f>'Init 1'!J114</f>
        <v>1283256.5017999997</v>
      </c>
      <c r="I8" s="208">
        <f>'Init 1'!J27+'Init 1'!J28+'Init 1'!J29+'Init 1'!J30</f>
        <v>2.5</v>
      </c>
      <c r="J8" s="181">
        <f>'Init 1'!K114</f>
        <v>1302505.3493269994</v>
      </c>
      <c r="K8" s="216">
        <f>'Init 1'!K27+'Init 1'!K28+'Init 1'!K29+'Init 1'!K30</f>
        <v>2.5</v>
      </c>
      <c r="L8" s="245">
        <f t="shared" si="0"/>
        <v>6786128.0911269989</v>
      </c>
    </row>
    <row r="9" spans="1:12" ht="15.75" hidden="1" outlineLevel="1" thickBot="1" x14ac:dyDescent="0.3">
      <c r="A9" s="241" t="s">
        <v>303</v>
      </c>
      <c r="B9" s="184">
        <f>'Init 1'!G115</f>
        <v>82120</v>
      </c>
      <c r="C9" s="208">
        <v>0</v>
      </c>
      <c r="D9" s="181">
        <f>'Init 1'!H115</f>
        <v>37215.989999999991</v>
      </c>
      <c r="E9" s="208">
        <v>0</v>
      </c>
      <c r="F9" s="181">
        <f>'Init 1'!I115</f>
        <v>37774.229849999989</v>
      </c>
      <c r="G9" s="208">
        <v>0</v>
      </c>
      <c r="H9" s="181">
        <f>'Init 1'!J115</f>
        <v>38340.843297749991</v>
      </c>
      <c r="I9" s="208">
        <v>0</v>
      </c>
      <c r="J9" s="181">
        <f>'Init 1'!K115</f>
        <v>38915.955947216236</v>
      </c>
      <c r="K9" s="216">
        <v>0</v>
      </c>
      <c r="L9" s="245">
        <f t="shared" si="0"/>
        <v>234367.01909496624</v>
      </c>
    </row>
    <row r="10" spans="1:12" ht="15.75" hidden="1" outlineLevel="1" thickBot="1" x14ac:dyDescent="0.3">
      <c r="A10" s="241" t="s">
        <v>304</v>
      </c>
      <c r="B10" s="184">
        <f>'Init 1'!G116</f>
        <v>0</v>
      </c>
      <c r="C10" s="208">
        <v>0</v>
      </c>
      <c r="D10" s="181">
        <f>'Init 1'!H116</f>
        <v>0</v>
      </c>
      <c r="E10" s="208">
        <v>0</v>
      </c>
      <c r="F10" s="181">
        <f>'Init 1'!I116</f>
        <v>0</v>
      </c>
      <c r="G10" s="208">
        <v>0</v>
      </c>
      <c r="H10" s="181">
        <f>'Init 1'!J116</f>
        <v>0</v>
      </c>
      <c r="I10" s="208">
        <v>0</v>
      </c>
      <c r="J10" s="181">
        <f>'Init 1'!K116</f>
        <v>0</v>
      </c>
      <c r="K10" s="216">
        <v>0</v>
      </c>
      <c r="L10" s="245">
        <f t="shared" si="0"/>
        <v>0</v>
      </c>
    </row>
    <row r="11" spans="1:12" s="188" customFormat="1" ht="15.75" hidden="1" customHeight="1" outlineLevel="1" thickBot="1" x14ac:dyDescent="0.3">
      <c r="A11" s="242" t="s">
        <v>53</v>
      </c>
      <c r="B11" s="186">
        <f>'Init 1'!G117</f>
        <v>1750248</v>
      </c>
      <c r="C11" s="209">
        <f>SUM(C4:C10)</f>
        <v>7.1923076923076925</v>
      </c>
      <c r="D11" s="187">
        <f>'Init 1'!H117</f>
        <v>1754043.8299999998</v>
      </c>
      <c r="E11" s="209">
        <f>SUM(E4:E10)</f>
        <v>6</v>
      </c>
      <c r="F11" s="187">
        <f>'Init 1'!I117</f>
        <v>1780354.4874499997</v>
      </c>
      <c r="G11" s="209">
        <f>SUM(G4:G10)</f>
        <v>6</v>
      </c>
      <c r="H11" s="187">
        <f>'Init 1'!J117</f>
        <v>1563023.5683177498</v>
      </c>
      <c r="I11" s="209">
        <f>SUM(I4:I10)</f>
        <v>5</v>
      </c>
      <c r="J11" s="187">
        <f>'Init 1'!K117</f>
        <v>1586468.9218425155</v>
      </c>
      <c r="K11" s="217">
        <f>SUM(K4:K10)</f>
        <v>5</v>
      </c>
      <c r="L11" s="245">
        <f t="shared" si="0"/>
        <v>8434138.8076102659</v>
      </c>
    </row>
    <row r="12" spans="1:12" ht="15.75" hidden="1" outlineLevel="1" thickBot="1" x14ac:dyDescent="0.3">
      <c r="A12" s="243" t="s">
        <v>96</v>
      </c>
      <c r="B12" s="185">
        <f>'Init 1'!G118</f>
        <v>0</v>
      </c>
      <c r="C12" s="210">
        <v>0</v>
      </c>
      <c r="D12" s="182">
        <f>'Init 1'!H118</f>
        <v>0</v>
      </c>
      <c r="E12" s="210">
        <v>0</v>
      </c>
      <c r="F12" s="182">
        <f>'Init 1'!I118</f>
        <v>0</v>
      </c>
      <c r="G12" s="210">
        <v>0</v>
      </c>
      <c r="H12" s="182">
        <f>'Init 1'!J118</f>
        <v>0</v>
      </c>
      <c r="I12" s="210">
        <v>0</v>
      </c>
      <c r="J12" s="182">
        <f>'Init 1'!K118</f>
        <v>0</v>
      </c>
      <c r="K12" s="218">
        <v>0</v>
      </c>
      <c r="L12" s="245">
        <f t="shared" si="0"/>
        <v>0</v>
      </c>
    </row>
    <row r="13" spans="1:12" s="188" customFormat="1" ht="15.75" collapsed="1" thickBot="1" x14ac:dyDescent="0.3">
      <c r="A13" s="234" t="s">
        <v>328</v>
      </c>
      <c r="B13" s="183">
        <f>'Init 2'!G142</f>
        <v>481679.31200000003</v>
      </c>
      <c r="C13" s="207">
        <f>SUM(C14:C20,C22)</f>
        <v>3.9425384615384615</v>
      </c>
      <c r="D13" s="180">
        <f>'Init 2'!H142</f>
        <v>413974.85499999992</v>
      </c>
      <c r="E13" s="207">
        <f>SUM(E14:E20,E22)</f>
        <v>3.25</v>
      </c>
      <c r="F13" s="180">
        <f>'Init 2'!I142</f>
        <v>420184.47782499995</v>
      </c>
      <c r="G13" s="207">
        <f>SUM(G14:G20,G22)</f>
        <v>3.25</v>
      </c>
      <c r="H13" s="180">
        <f>'Init 2'!J142</f>
        <v>426487.24499237491</v>
      </c>
      <c r="I13" s="207">
        <f>SUM(I14:I20,I22)</f>
        <v>3.25</v>
      </c>
      <c r="J13" s="180">
        <f>'Init 2'!K142</f>
        <v>432884.55366726045</v>
      </c>
      <c r="K13" s="215">
        <f>SUM(K14:K20,K22)</f>
        <v>3.25</v>
      </c>
      <c r="L13" s="244">
        <f t="shared" si="0"/>
        <v>2175210.4434846351</v>
      </c>
    </row>
    <row r="14" spans="1:12" ht="15.75" hidden="1" outlineLevel="1" thickBot="1" x14ac:dyDescent="0.3">
      <c r="A14" s="241" t="s">
        <v>110</v>
      </c>
      <c r="B14" s="184">
        <f>'Init 2'!G144</f>
        <v>83049.312000000005</v>
      </c>
      <c r="C14" s="208">
        <f>'Init 2'!G21</f>
        <v>0.89926923076923082</v>
      </c>
      <c r="D14" s="181">
        <f>'Init 2'!H144</f>
        <v>41010.06</v>
      </c>
      <c r="E14" s="208">
        <f>'Init 2'!H21</f>
        <v>0.4375</v>
      </c>
      <c r="F14" s="181">
        <f>'Init 2'!I144</f>
        <v>41625.210899999991</v>
      </c>
      <c r="G14" s="208">
        <f>'Init 2'!I21</f>
        <v>0.4375</v>
      </c>
      <c r="H14" s="181">
        <f>'Init 2'!J144</f>
        <v>42249.589063499996</v>
      </c>
      <c r="I14" s="208">
        <f>'Init 2'!J21</f>
        <v>0.4375</v>
      </c>
      <c r="J14" s="181">
        <f>'Init 2'!K144</f>
        <v>42883.332899452485</v>
      </c>
      <c r="K14" s="216">
        <f>'Init 2'!K21</f>
        <v>0.4375</v>
      </c>
      <c r="L14" s="245">
        <f t="shared" ref="L14:L102" si="1">B14+D14+F14+H14+J14</f>
        <v>250817.50486295245</v>
      </c>
    </row>
    <row r="15" spans="1:12" ht="15.75" hidden="1" outlineLevel="1" thickBot="1" x14ac:dyDescent="0.3">
      <c r="A15" s="241" t="s">
        <v>111</v>
      </c>
      <c r="B15" s="184">
        <f>'Init 2'!G145</f>
        <v>39960</v>
      </c>
      <c r="C15" s="208">
        <f>'Init 2'!G23</f>
        <v>0.46153846153846156</v>
      </c>
      <c r="D15" s="181">
        <f>'Init 2'!H145</f>
        <v>0</v>
      </c>
      <c r="E15" s="208">
        <f>'Init 2'!H23</f>
        <v>0</v>
      </c>
      <c r="F15" s="181">
        <f>'Init 2'!I145</f>
        <v>0</v>
      </c>
      <c r="G15" s="208">
        <f>'Init 2'!I23</f>
        <v>0</v>
      </c>
      <c r="H15" s="181">
        <f>'Init 2'!J145</f>
        <v>0</v>
      </c>
      <c r="I15" s="208">
        <f>'Init 2'!J23</f>
        <v>0</v>
      </c>
      <c r="J15" s="181">
        <f>'Init 2'!K145</f>
        <v>0</v>
      </c>
      <c r="K15" s="216">
        <f>'Init 2'!K23</f>
        <v>0</v>
      </c>
      <c r="L15" s="245">
        <f t="shared" si="1"/>
        <v>39960</v>
      </c>
    </row>
    <row r="16" spans="1:12" ht="15.75" hidden="1" outlineLevel="1" thickBot="1" x14ac:dyDescent="0.3">
      <c r="A16" s="241" t="s">
        <v>112</v>
      </c>
      <c r="B16" s="184">
        <f>'Init 2'!G146</f>
        <v>135135</v>
      </c>
      <c r="C16" s="208">
        <f>'Init 2'!G24</f>
        <v>1.375</v>
      </c>
      <c r="D16" s="181">
        <f>'Init 2'!H146</f>
        <v>137162.02499999999</v>
      </c>
      <c r="E16" s="208">
        <f>'Init 2'!H24</f>
        <v>1.375</v>
      </c>
      <c r="F16" s="181">
        <f>'Init 2'!I146</f>
        <v>139219.45537499999</v>
      </c>
      <c r="G16" s="208">
        <f>'Init 2'!I24</f>
        <v>1.375</v>
      </c>
      <c r="H16" s="181">
        <f>'Init 2'!J146</f>
        <v>141307.747205625</v>
      </c>
      <c r="I16" s="208">
        <f>'Init 2'!J24</f>
        <v>1.375</v>
      </c>
      <c r="J16" s="181">
        <f>'Init 2'!K146</f>
        <v>143427.36341370933</v>
      </c>
      <c r="K16" s="216">
        <f>'Init 2'!K24</f>
        <v>1.375</v>
      </c>
      <c r="L16" s="245">
        <f t="shared" si="1"/>
        <v>696251.59099433443</v>
      </c>
    </row>
    <row r="17" spans="1:12" ht="15.75" hidden="1" outlineLevel="1" thickBot="1" x14ac:dyDescent="0.3">
      <c r="A17" s="241" t="s">
        <v>245</v>
      </c>
      <c r="B17" s="184">
        <f>'Init 2'!G147</f>
        <v>64824</v>
      </c>
      <c r="C17" s="208">
        <f>'Init 2'!G25</f>
        <v>0.76923076923076927</v>
      </c>
      <c r="D17" s="181">
        <f>'Init 2'!H147</f>
        <v>93737.279999999999</v>
      </c>
      <c r="E17" s="208">
        <f>'Init 2'!H25</f>
        <v>1</v>
      </c>
      <c r="F17" s="181">
        <f>'Init 2'!I147</f>
        <v>95143.339199999988</v>
      </c>
      <c r="G17" s="208">
        <f>'Init 2'!I25</f>
        <v>1</v>
      </c>
      <c r="H17" s="181">
        <f>'Init 2'!J147</f>
        <v>96570.489287999982</v>
      </c>
      <c r="I17" s="208">
        <f>'Init 2'!J25</f>
        <v>1</v>
      </c>
      <c r="J17" s="181">
        <f>'Init 2'!K147</f>
        <v>98019.046627319971</v>
      </c>
      <c r="K17" s="216">
        <f>'Init 2'!K25</f>
        <v>1</v>
      </c>
      <c r="L17" s="245">
        <f t="shared" si="1"/>
        <v>448294.15511532</v>
      </c>
    </row>
    <row r="18" spans="1:12" ht="15.75" hidden="1" outlineLevel="1" thickBot="1" x14ac:dyDescent="0.3">
      <c r="A18" s="241" t="s">
        <v>49</v>
      </c>
      <c r="B18" s="184">
        <f>'Init 2'!G148</f>
        <v>127400</v>
      </c>
      <c r="C18" s="208">
        <f>'Init 2'!G27+'Init 2'!G28</f>
        <v>0.4375</v>
      </c>
      <c r="D18" s="181">
        <f>'Init 2'!H148</f>
        <v>129311</v>
      </c>
      <c r="E18" s="208">
        <f>'Init 2'!H27+'Init 2'!H28</f>
        <v>0.4375</v>
      </c>
      <c r="F18" s="181">
        <f>'Init 2'!I148</f>
        <v>131250.66499999998</v>
      </c>
      <c r="G18" s="208">
        <f>'Init 2'!I27+'Init 2'!I28</f>
        <v>0.4375</v>
      </c>
      <c r="H18" s="181">
        <f>'Init 2'!J148</f>
        <v>133219.42497499997</v>
      </c>
      <c r="I18" s="208">
        <f>'Init 2'!J27+'Init 2'!J28</f>
        <v>0.4375</v>
      </c>
      <c r="J18" s="223">
        <f>'Init 2'!K148</f>
        <v>135217.71634962494</v>
      </c>
      <c r="K18" s="216">
        <f>'Init 2'!K27+'Init 2'!K28</f>
        <v>0.4375</v>
      </c>
      <c r="L18" s="245">
        <f t="shared" si="1"/>
        <v>656398.80632462492</v>
      </c>
    </row>
    <row r="19" spans="1:12" ht="15.75" hidden="1" outlineLevel="1" thickBot="1" x14ac:dyDescent="0.3">
      <c r="A19" s="241" t="s">
        <v>303</v>
      </c>
      <c r="B19" s="184">
        <f>'Init 2'!G149</f>
        <v>31311</v>
      </c>
      <c r="C19" s="208">
        <v>0</v>
      </c>
      <c r="D19" s="181">
        <f>'Init 2'!H149</f>
        <v>12754.489999999998</v>
      </c>
      <c r="E19" s="208">
        <v>0</v>
      </c>
      <c r="F19" s="181">
        <f>'Init 2'!I149</f>
        <v>12945.807349999997</v>
      </c>
      <c r="G19" s="208">
        <v>0</v>
      </c>
      <c r="H19" s="181">
        <f>'Init 2'!J149</f>
        <v>13139.994460249996</v>
      </c>
      <c r="I19" s="208">
        <v>0</v>
      </c>
      <c r="J19" s="181">
        <f>'Init 2'!K149</f>
        <v>13337.094377153744</v>
      </c>
      <c r="K19" s="216">
        <v>0</v>
      </c>
      <c r="L19" s="245">
        <f t="shared" si="1"/>
        <v>83488.386187403739</v>
      </c>
    </row>
    <row r="20" spans="1:12" ht="15.75" hidden="1" outlineLevel="1" thickBot="1" x14ac:dyDescent="0.3">
      <c r="A20" s="241" t="s">
        <v>304</v>
      </c>
      <c r="B20" s="184">
        <f>'Init 2'!G150</f>
        <v>0</v>
      </c>
      <c r="C20" s="208">
        <v>0</v>
      </c>
      <c r="D20" s="181">
        <f>'Init 2'!H150</f>
        <v>0</v>
      </c>
      <c r="E20" s="208">
        <v>0</v>
      </c>
      <c r="F20" s="181">
        <f>'Init 2'!I150</f>
        <v>0</v>
      </c>
      <c r="G20" s="208">
        <v>0</v>
      </c>
      <c r="H20" s="181">
        <f>'Init 2'!J150</f>
        <v>0</v>
      </c>
      <c r="I20" s="208">
        <v>0</v>
      </c>
      <c r="J20" s="181">
        <f>'Init 2'!K150</f>
        <v>0</v>
      </c>
      <c r="K20" s="216">
        <v>0</v>
      </c>
      <c r="L20" s="245">
        <f t="shared" si="1"/>
        <v>0</v>
      </c>
    </row>
    <row r="21" spans="1:12" s="188" customFormat="1" ht="15.75" hidden="1" outlineLevel="1" thickBot="1" x14ac:dyDescent="0.3">
      <c r="A21" s="242" t="s">
        <v>53</v>
      </c>
      <c r="B21" s="186">
        <f>'Init 2'!G151</f>
        <v>481679.31200000003</v>
      </c>
      <c r="C21" s="209">
        <f>SUM(C14:C20)</f>
        <v>3.9425384615384615</v>
      </c>
      <c r="D21" s="187">
        <f>'Init 2'!H151</f>
        <v>413974.85499999998</v>
      </c>
      <c r="E21" s="209">
        <f>SUM(E14:E20)</f>
        <v>3.25</v>
      </c>
      <c r="F21" s="187">
        <f>'Init 2'!I151</f>
        <v>420184.47782499995</v>
      </c>
      <c r="G21" s="209">
        <f>SUM(G14:G20)</f>
        <v>3.25</v>
      </c>
      <c r="H21" s="187">
        <f>'Init 2'!J151</f>
        <v>426487.24499237497</v>
      </c>
      <c r="I21" s="209">
        <f>SUM(I14:I20)</f>
        <v>3.25</v>
      </c>
      <c r="J21" s="187">
        <f>'Init 2'!K151</f>
        <v>432884.55366726039</v>
      </c>
      <c r="K21" s="217">
        <f>SUM(K14:K20)</f>
        <v>3.25</v>
      </c>
      <c r="L21" s="245">
        <f t="shared" si="1"/>
        <v>2175210.4434846351</v>
      </c>
    </row>
    <row r="22" spans="1:12" ht="15.75" hidden="1" outlineLevel="1" thickBot="1" x14ac:dyDescent="0.3">
      <c r="A22" s="243" t="s">
        <v>96</v>
      </c>
      <c r="B22" s="185">
        <f>'Init 2'!G152</f>
        <v>0</v>
      </c>
      <c r="C22" s="210">
        <v>0</v>
      </c>
      <c r="D22" s="182">
        <f>'Init 2'!H152</f>
        <v>0</v>
      </c>
      <c r="E22" s="210">
        <v>0</v>
      </c>
      <c r="F22" s="182">
        <f>'Init 2'!I152</f>
        <v>0</v>
      </c>
      <c r="G22" s="210">
        <v>0</v>
      </c>
      <c r="H22" s="182">
        <f>'Init 2'!J152</f>
        <v>0</v>
      </c>
      <c r="I22" s="210">
        <v>0</v>
      </c>
      <c r="J22" s="182">
        <f>'Init 2'!K152</f>
        <v>0</v>
      </c>
      <c r="K22" s="218">
        <v>0</v>
      </c>
      <c r="L22" s="245">
        <f t="shared" si="1"/>
        <v>0</v>
      </c>
    </row>
    <row r="23" spans="1:12" s="188" customFormat="1" ht="15.75" collapsed="1" thickBot="1" x14ac:dyDescent="0.3">
      <c r="A23" s="234" t="s">
        <v>339</v>
      </c>
      <c r="B23" s="183">
        <f>'Init 3'!G91</f>
        <v>580575</v>
      </c>
      <c r="C23" s="207">
        <f>SUM(C24:C30,C32)</f>
        <v>3</v>
      </c>
      <c r="D23" s="180">
        <f ca="1">'Init 3'!H91</f>
        <v>576634.69500000007</v>
      </c>
      <c r="E23" s="207">
        <f>SUM(E24:E30,E32)</f>
        <v>3</v>
      </c>
      <c r="F23" s="180">
        <f ca="1">'Init 3'!I91</f>
        <v>585284.21542499994</v>
      </c>
      <c r="G23" s="207">
        <f>SUM(G24:G30,G32)</f>
        <v>3</v>
      </c>
      <c r="H23" s="180">
        <f ca="1">'Init 3'!J91</f>
        <v>594063.47865637485</v>
      </c>
      <c r="I23" s="207">
        <f>SUM(I24:I30,I32)</f>
        <v>3</v>
      </c>
      <c r="J23" s="180">
        <f ca="1">'Init 3'!K91</f>
        <v>602974.4308362205</v>
      </c>
      <c r="K23" s="215">
        <f>SUM(K24:K30,K32)</f>
        <v>3</v>
      </c>
      <c r="L23" s="244">
        <f t="shared" ca="1" si="1"/>
        <v>2939531.819917595</v>
      </c>
    </row>
    <row r="24" spans="1:12" ht="15.75" hidden="1" outlineLevel="1" thickBot="1" x14ac:dyDescent="0.3">
      <c r="A24" s="241" t="s">
        <v>110</v>
      </c>
      <c r="B24" s="184">
        <f>'Init 3'!G93</f>
        <v>92351.999999999985</v>
      </c>
      <c r="C24" s="208">
        <f>'Init 3'!G21+'Init 3'!G22</f>
        <v>1</v>
      </c>
      <c r="D24" s="181">
        <f>'Init 3'!H93</f>
        <v>93737.279999999984</v>
      </c>
      <c r="E24" s="208">
        <f>'Init 3'!H21+'Init 3'!H22</f>
        <v>1</v>
      </c>
      <c r="F24" s="181">
        <f>'Init 3'!I93</f>
        <v>95143.339199999988</v>
      </c>
      <c r="G24" s="208">
        <f>'Init 3'!I21+'Init 3'!I22</f>
        <v>1</v>
      </c>
      <c r="H24" s="181">
        <f>'Init 3'!J93</f>
        <v>96570.489287999968</v>
      </c>
      <c r="I24" s="208">
        <f>'Init 3'!J21+'Init 3'!J22</f>
        <v>1</v>
      </c>
      <c r="J24" s="181">
        <f>'Init 3'!K93</f>
        <v>98019.046627319971</v>
      </c>
      <c r="K24" s="208">
        <f>'Init 3'!K21+'Init 3'!K22</f>
        <v>1</v>
      </c>
      <c r="L24" s="245">
        <f t="shared" si="1"/>
        <v>475822.15511531988</v>
      </c>
    </row>
    <row r="25" spans="1:12" ht="15.75" hidden="1" outlineLevel="1" thickBot="1" x14ac:dyDescent="0.3">
      <c r="A25" s="241" t="s">
        <v>111</v>
      </c>
      <c r="B25" s="184">
        <f>'Init 3'!G94</f>
        <v>0</v>
      </c>
      <c r="C25" s="208">
        <f>'Init 3'!G23</f>
        <v>0</v>
      </c>
      <c r="D25" s="181">
        <f>'Init 3'!H94</f>
        <v>0</v>
      </c>
      <c r="E25" s="208">
        <f>'Init 3'!H23</f>
        <v>0</v>
      </c>
      <c r="F25" s="181">
        <f>'Init 3'!I94</f>
        <v>0</v>
      </c>
      <c r="G25" s="208">
        <f>'Init 3'!I23</f>
        <v>0</v>
      </c>
      <c r="H25" s="181">
        <f>'Init 3'!J94</f>
        <v>0</v>
      </c>
      <c r="I25" s="208">
        <f>'Init 3'!J23</f>
        <v>0</v>
      </c>
      <c r="J25" s="181">
        <f>'Init 3'!K94</f>
        <v>0</v>
      </c>
      <c r="K25" s="216">
        <f>'Init 3'!K23</f>
        <v>0</v>
      </c>
      <c r="L25" s="245">
        <f t="shared" si="1"/>
        <v>0</v>
      </c>
    </row>
    <row r="26" spans="1:12" ht="15.75" hidden="1" outlineLevel="1" thickBot="1" x14ac:dyDescent="0.3">
      <c r="A26" s="241" t="s">
        <v>112</v>
      </c>
      <c r="B26" s="184">
        <f>'Init 3'!G95</f>
        <v>0</v>
      </c>
      <c r="C26" s="208">
        <f>'Init 3'!G24</f>
        <v>0</v>
      </c>
      <c r="D26" s="181">
        <f>'Init 3'!H95</f>
        <v>0</v>
      </c>
      <c r="E26" s="208">
        <f>'Init 3'!H24</f>
        <v>0</v>
      </c>
      <c r="F26" s="181">
        <f>'Init 3'!I95</f>
        <v>0</v>
      </c>
      <c r="G26" s="208">
        <f>'Init 3'!I24</f>
        <v>0</v>
      </c>
      <c r="H26" s="181">
        <f>'Init 3'!J95</f>
        <v>0</v>
      </c>
      <c r="I26" s="208">
        <f>'Init 3'!J24</f>
        <v>0</v>
      </c>
      <c r="J26" s="181">
        <f>'Init 3'!K95</f>
        <v>0</v>
      </c>
      <c r="K26" s="216">
        <f>'Init 3'!K24</f>
        <v>0</v>
      </c>
      <c r="L26" s="245">
        <f t="shared" si="1"/>
        <v>0</v>
      </c>
    </row>
    <row r="27" spans="1:12" ht="15.75" hidden="1" outlineLevel="1" thickBot="1" x14ac:dyDescent="0.3">
      <c r="A27" s="241" t="s">
        <v>113</v>
      </c>
      <c r="B27" s="184">
        <f>'Init 3'!G96</f>
        <v>0</v>
      </c>
      <c r="C27" s="208">
        <f>'Init 3'!G25</f>
        <v>0</v>
      </c>
      <c r="D27" s="181">
        <f>'Init 3'!H96</f>
        <v>0</v>
      </c>
      <c r="E27" s="208">
        <f>'Init 3'!H25</f>
        <v>0</v>
      </c>
      <c r="F27" s="181">
        <f>'Init 3'!I96</f>
        <v>0</v>
      </c>
      <c r="G27" s="208">
        <f>'Init 3'!I25</f>
        <v>0</v>
      </c>
      <c r="H27" s="181">
        <f>'Init 3'!J96</f>
        <v>0</v>
      </c>
      <c r="I27" s="208">
        <f>'Init 3'!J25</f>
        <v>0</v>
      </c>
      <c r="J27" s="181">
        <f>'Init 3'!K96</f>
        <v>0</v>
      </c>
      <c r="K27" s="216">
        <f>'Init 3'!K25</f>
        <v>0</v>
      </c>
      <c r="L27" s="245">
        <f t="shared" si="1"/>
        <v>0</v>
      </c>
    </row>
    <row r="28" spans="1:12" ht="15.75" hidden="1" outlineLevel="1" thickBot="1" x14ac:dyDescent="0.3">
      <c r="A28" s="241" t="s">
        <v>49</v>
      </c>
      <c r="B28" s="184">
        <f>'Init 3'!G97</f>
        <v>457599.99999999994</v>
      </c>
      <c r="C28" s="208">
        <f>'Init 3'!G27+'Init 3'!G28</f>
        <v>2</v>
      </c>
      <c r="D28" s="181">
        <f>'Init 3'!H97</f>
        <v>464463.99999999994</v>
      </c>
      <c r="E28" s="208">
        <f>'Init 3'!H27+'Init 3'!H28</f>
        <v>2</v>
      </c>
      <c r="F28" s="181">
        <f>'Init 3'!I97</f>
        <v>471430.95999999996</v>
      </c>
      <c r="G28" s="208">
        <f>'Init 3'!I27+'Init 3'!I28</f>
        <v>2</v>
      </c>
      <c r="H28" s="181">
        <f>'Init 3'!J97</f>
        <v>478502.42439999984</v>
      </c>
      <c r="I28" s="208">
        <f>'Init 3'!J27+'Init 3'!J28</f>
        <v>2</v>
      </c>
      <c r="J28" s="181">
        <f>'Init 3'!K97</f>
        <v>485679.9607659998</v>
      </c>
      <c r="K28" s="216">
        <f>'Init 3'!K27+'Init 3'!K28</f>
        <v>2</v>
      </c>
      <c r="L28" s="245">
        <f t="shared" si="1"/>
        <v>2357677.3451659996</v>
      </c>
    </row>
    <row r="29" spans="1:12" ht="15.75" hidden="1" outlineLevel="1" thickBot="1" x14ac:dyDescent="0.3">
      <c r="A29" s="241" t="s">
        <v>303</v>
      </c>
      <c r="B29" s="184">
        <f>'Init 3'!G98</f>
        <v>30623</v>
      </c>
      <c r="C29" s="208">
        <v>0</v>
      </c>
      <c r="D29" s="181">
        <f ca="1">'Init 3'!H98</f>
        <v>18433.414999999997</v>
      </c>
      <c r="E29" s="208">
        <v>0</v>
      </c>
      <c r="F29" s="181">
        <f ca="1">'Init 3'!I98</f>
        <v>18709.916224999997</v>
      </c>
      <c r="G29" s="208">
        <v>0</v>
      </c>
      <c r="H29" s="181">
        <f ca="1">'Init 3'!J98</f>
        <v>18990.564968374994</v>
      </c>
      <c r="I29" s="208">
        <v>0</v>
      </c>
      <c r="J29" s="181">
        <f ca="1">'Init 3'!K98</f>
        <v>19275.423442900617</v>
      </c>
      <c r="K29" s="216">
        <v>0</v>
      </c>
      <c r="L29" s="245">
        <f t="shared" ca="1" si="1"/>
        <v>106032.3196362756</v>
      </c>
    </row>
    <row r="30" spans="1:12" ht="15.75" hidden="1" outlineLevel="1" thickBot="1" x14ac:dyDescent="0.3">
      <c r="A30" s="241" t="s">
        <v>304</v>
      </c>
      <c r="B30" s="184">
        <f>'Init 3'!G99</f>
        <v>0</v>
      </c>
      <c r="C30" s="208">
        <v>0</v>
      </c>
      <c r="D30" s="181">
        <f>'Init 3'!H99</f>
        <v>0</v>
      </c>
      <c r="E30" s="208">
        <v>0</v>
      </c>
      <c r="F30" s="181">
        <f>'Init 3'!I99</f>
        <v>0</v>
      </c>
      <c r="G30" s="208">
        <v>0</v>
      </c>
      <c r="H30" s="181">
        <f>'Init 3'!J99</f>
        <v>0</v>
      </c>
      <c r="I30" s="208">
        <v>0</v>
      </c>
      <c r="J30" s="181">
        <f>'Init 3'!K99</f>
        <v>0</v>
      </c>
      <c r="K30" s="216">
        <v>0</v>
      </c>
      <c r="L30" s="245">
        <f t="shared" si="1"/>
        <v>0</v>
      </c>
    </row>
    <row r="31" spans="1:12" s="188" customFormat="1" ht="15.75" hidden="1" outlineLevel="1" thickBot="1" x14ac:dyDescent="0.3">
      <c r="A31" s="242" t="s">
        <v>53</v>
      </c>
      <c r="B31" s="186">
        <f>'Init 3'!G100</f>
        <v>580574.99999999988</v>
      </c>
      <c r="C31" s="209">
        <f>SUM(C24:C30)</f>
        <v>3</v>
      </c>
      <c r="D31" s="187">
        <f ca="1">'Init 3'!H100</f>
        <v>576634.69499999995</v>
      </c>
      <c r="E31" s="209">
        <f>SUM(E24:E30)</f>
        <v>3</v>
      </c>
      <c r="F31" s="187">
        <f ca="1">'Init 3'!I100</f>
        <v>585284.21542500006</v>
      </c>
      <c r="G31" s="209">
        <f>SUM(G24:G30)</f>
        <v>3</v>
      </c>
      <c r="H31" s="187">
        <f ca="1">'Init 3'!J100</f>
        <v>594063.47865637485</v>
      </c>
      <c r="I31" s="209">
        <f>SUM(I24:I30)</f>
        <v>3</v>
      </c>
      <c r="J31" s="187">
        <f ca="1">'Init 3'!K100</f>
        <v>602974.43083622039</v>
      </c>
      <c r="K31" s="217">
        <f>SUM(K24:K30)</f>
        <v>3</v>
      </c>
      <c r="L31" s="245">
        <f t="shared" ca="1" si="1"/>
        <v>2939531.819917595</v>
      </c>
    </row>
    <row r="32" spans="1:12" ht="15.75" hidden="1" outlineLevel="1" thickBot="1" x14ac:dyDescent="0.3">
      <c r="A32" s="243" t="s">
        <v>96</v>
      </c>
      <c r="B32" s="190">
        <f>'Init 3'!G101</f>
        <v>0</v>
      </c>
      <c r="C32" s="211">
        <v>0</v>
      </c>
      <c r="D32" s="189">
        <f>'Init 3'!H101</f>
        <v>0</v>
      </c>
      <c r="E32" s="211">
        <v>0</v>
      </c>
      <c r="F32" s="189">
        <f>'Init 3'!I101</f>
        <v>0</v>
      </c>
      <c r="G32" s="211">
        <v>0</v>
      </c>
      <c r="H32" s="189">
        <f>'Init 3'!J101</f>
        <v>0</v>
      </c>
      <c r="I32" s="211">
        <v>0</v>
      </c>
      <c r="J32" s="189">
        <f>'Init 3'!K101</f>
        <v>0</v>
      </c>
      <c r="K32" s="219">
        <v>0</v>
      </c>
      <c r="L32" s="245">
        <f t="shared" si="1"/>
        <v>0</v>
      </c>
    </row>
    <row r="33" spans="1:12" s="188" customFormat="1" ht="15.75" collapsed="1" thickBot="1" x14ac:dyDescent="0.3">
      <c r="A33" s="234" t="s">
        <v>355</v>
      </c>
      <c r="B33" s="183">
        <f>'Init 4'!G105</f>
        <v>0</v>
      </c>
      <c r="C33" s="207">
        <f>SUM(C34:C40,C42)</f>
        <v>0</v>
      </c>
      <c r="D33" s="180">
        <f ca="1">'Init 4'!H105</f>
        <v>705648.3</v>
      </c>
      <c r="E33" s="207">
        <f>SUM(E34:E40,E42)</f>
        <v>4</v>
      </c>
      <c r="F33" s="180">
        <f ca="1">'Init 4'!I105</f>
        <v>0</v>
      </c>
      <c r="G33" s="207">
        <f>SUM(G34:G40,G42)</f>
        <v>0</v>
      </c>
      <c r="H33" s="180">
        <f ca="1">'Init 4'!J105</f>
        <v>0</v>
      </c>
      <c r="I33" s="207">
        <f>SUM(I34:I40,I42)</f>
        <v>0</v>
      </c>
      <c r="J33" s="180">
        <f ca="1">'Init 4'!K105</f>
        <v>0</v>
      </c>
      <c r="K33" s="215">
        <f>SUM(K34:K40,K42)</f>
        <v>0</v>
      </c>
      <c r="L33" s="244">
        <f t="shared" ref="L33:L42" ca="1" si="2">B33+D33+F33+H33+J33</f>
        <v>705648.3</v>
      </c>
    </row>
    <row r="34" spans="1:12" ht="15.75" hidden="1" outlineLevel="1" thickBot="1" x14ac:dyDescent="0.3">
      <c r="A34" s="241" t="s">
        <v>110</v>
      </c>
      <c r="B34" s="184">
        <f>'Init 4'!G107</f>
        <v>0</v>
      </c>
      <c r="C34" s="208">
        <f>'Init 4'!G21+'Init 4'!G22</f>
        <v>0</v>
      </c>
      <c r="D34" s="181">
        <f>'Init 4'!H107</f>
        <v>0</v>
      </c>
      <c r="E34" s="208">
        <f>'Init 4'!H21+'Init 4'!H22</f>
        <v>0</v>
      </c>
      <c r="F34" s="181">
        <f>'Init 4'!I107</f>
        <v>0</v>
      </c>
      <c r="G34" s="208">
        <f>'Init 4'!I21+'Init 4'!I22</f>
        <v>0</v>
      </c>
      <c r="H34" s="181">
        <f>'Init 4'!J107</f>
        <v>0</v>
      </c>
      <c r="I34" s="208">
        <f>'Init 4'!J21+'Init 4'!J22</f>
        <v>0</v>
      </c>
      <c r="J34" s="181">
        <f>'Init 4'!K107</f>
        <v>0</v>
      </c>
      <c r="K34" s="216">
        <f>'Init 4'!K21+'Init 4'!K22</f>
        <v>0</v>
      </c>
      <c r="L34" s="245">
        <f t="shared" si="2"/>
        <v>0</v>
      </c>
    </row>
    <row r="35" spans="1:12" ht="15.75" hidden="1" outlineLevel="1" thickBot="1" x14ac:dyDescent="0.3">
      <c r="A35" s="241" t="s">
        <v>111</v>
      </c>
      <c r="B35" s="184">
        <f>'Init 4'!G108</f>
        <v>0</v>
      </c>
      <c r="C35" s="208">
        <f>'Init 4'!G23</f>
        <v>0</v>
      </c>
      <c r="D35" s="181">
        <f>'Init 4'!H108</f>
        <v>0</v>
      </c>
      <c r="E35" s="208">
        <f>'Init 4'!H23</f>
        <v>0</v>
      </c>
      <c r="F35" s="181">
        <f>'Init 4'!I108</f>
        <v>0</v>
      </c>
      <c r="G35" s="208">
        <f>'Init 4'!I23</f>
        <v>0</v>
      </c>
      <c r="H35" s="181">
        <f>'Init 4'!J108</f>
        <v>0</v>
      </c>
      <c r="I35" s="208">
        <f>'Init 4'!J23</f>
        <v>0</v>
      </c>
      <c r="J35" s="181">
        <f>'Init 4'!K108</f>
        <v>0</v>
      </c>
      <c r="K35" s="216">
        <f>'Init 4'!K23</f>
        <v>0</v>
      </c>
      <c r="L35" s="245">
        <f t="shared" si="2"/>
        <v>0</v>
      </c>
    </row>
    <row r="36" spans="1:12" ht="15.75" hidden="1" outlineLevel="1" thickBot="1" x14ac:dyDescent="0.3">
      <c r="A36" s="241" t="s">
        <v>112</v>
      </c>
      <c r="B36" s="184">
        <f>'Init 4'!G109</f>
        <v>0</v>
      </c>
      <c r="C36" s="208">
        <f>'Init 4'!G24</f>
        <v>0</v>
      </c>
      <c r="D36" s="181">
        <f>'Init 4'!H109</f>
        <v>199508.4</v>
      </c>
      <c r="E36" s="208">
        <f>'Init 4'!H24</f>
        <v>2</v>
      </c>
      <c r="F36" s="181">
        <f>'Init 4'!I109</f>
        <v>0</v>
      </c>
      <c r="G36" s="208">
        <f>'Init 4'!I24</f>
        <v>0</v>
      </c>
      <c r="H36" s="181">
        <f>'Init 4'!J109</f>
        <v>0</v>
      </c>
      <c r="I36" s="208">
        <f>'Init 4'!J24</f>
        <v>0</v>
      </c>
      <c r="J36" s="181">
        <f>'Init 4'!K109</f>
        <v>0</v>
      </c>
      <c r="K36" s="216">
        <f>'Init 4'!K24</f>
        <v>0</v>
      </c>
      <c r="L36" s="245">
        <f t="shared" si="2"/>
        <v>199508.4</v>
      </c>
    </row>
    <row r="37" spans="1:12" ht="15.75" hidden="1" outlineLevel="1" thickBot="1" x14ac:dyDescent="0.3">
      <c r="A37" s="241" t="s">
        <v>113</v>
      </c>
      <c r="B37" s="184">
        <f>'Init 4'!G110</f>
        <v>0</v>
      </c>
      <c r="C37" s="208">
        <f>'Init 4'!G25+'Init 4'!G26</f>
        <v>0</v>
      </c>
      <c r="D37" s="181">
        <f>'Init 4'!H110</f>
        <v>0</v>
      </c>
      <c r="E37" s="208">
        <f>'Init 4'!H25+'Init 4'!H26</f>
        <v>0</v>
      </c>
      <c r="F37" s="181">
        <f>'Init 4'!I110</f>
        <v>0</v>
      </c>
      <c r="G37" s="208">
        <f>'Init 4'!I25+'Init 4'!I26</f>
        <v>0</v>
      </c>
      <c r="H37" s="181">
        <f>'Init 4'!J110</f>
        <v>0</v>
      </c>
      <c r="I37" s="208">
        <f>'Init 4'!J25+'Init 4'!J26</f>
        <v>0</v>
      </c>
      <c r="J37" s="181">
        <f>'Init 4'!K110</f>
        <v>0</v>
      </c>
      <c r="K37" s="216">
        <f>'Init 4'!K25+'Init 4'!K26</f>
        <v>0</v>
      </c>
      <c r="L37" s="245">
        <f t="shared" si="2"/>
        <v>0</v>
      </c>
    </row>
    <row r="38" spans="1:12" ht="15.75" hidden="1" outlineLevel="1" thickBot="1" x14ac:dyDescent="0.3">
      <c r="A38" s="241" t="s">
        <v>49</v>
      </c>
      <c r="B38" s="184">
        <f>'Init 4'!G111</f>
        <v>0</v>
      </c>
      <c r="C38" s="208">
        <f>'Init 4'!G27+'Init 4'!G28</f>
        <v>0</v>
      </c>
      <c r="D38" s="181">
        <f>'Init 4'!H111</f>
        <v>464464</v>
      </c>
      <c r="E38" s="208">
        <f>'Init 4'!H27+'Init 4'!H28</f>
        <v>2</v>
      </c>
      <c r="F38" s="181">
        <f>'Init 4'!I111</f>
        <v>0</v>
      </c>
      <c r="G38" s="208">
        <f>'Init 4'!I27+'Init 4'!I28</f>
        <v>0</v>
      </c>
      <c r="H38" s="181">
        <f>'Init 4'!J111</f>
        <v>0</v>
      </c>
      <c r="I38" s="208">
        <f>'Init 4'!J27+'Init 4'!J28</f>
        <v>0</v>
      </c>
      <c r="J38" s="181">
        <f>'Init 4'!K111</f>
        <v>0</v>
      </c>
      <c r="K38" s="216">
        <f>'Init 4'!K27+'Init 4'!K28</f>
        <v>0</v>
      </c>
      <c r="L38" s="245">
        <f t="shared" si="2"/>
        <v>464464</v>
      </c>
    </row>
    <row r="39" spans="1:12" ht="15.75" hidden="1" outlineLevel="1" thickBot="1" x14ac:dyDescent="0.3">
      <c r="A39" s="241" t="s">
        <v>303</v>
      </c>
      <c r="B39" s="184">
        <f>'Init 4'!G112</f>
        <v>0</v>
      </c>
      <c r="C39" s="208">
        <v>0</v>
      </c>
      <c r="D39" s="181">
        <f ca="1">'Init 4'!H112</f>
        <v>41675.899999999994</v>
      </c>
      <c r="E39" s="208">
        <v>0</v>
      </c>
      <c r="F39" s="181">
        <f ca="1">'Init 4'!I112</f>
        <v>0</v>
      </c>
      <c r="G39" s="208">
        <v>0</v>
      </c>
      <c r="H39" s="181">
        <f ca="1">'Init 4'!J112</f>
        <v>0</v>
      </c>
      <c r="I39" s="208">
        <v>0</v>
      </c>
      <c r="J39" s="181">
        <f ca="1">'Init 4'!K112</f>
        <v>0</v>
      </c>
      <c r="K39" s="216">
        <v>0</v>
      </c>
      <c r="L39" s="245">
        <f t="shared" ca="1" si="2"/>
        <v>41675.899999999994</v>
      </c>
    </row>
    <row r="40" spans="1:12" ht="15.75" hidden="1" outlineLevel="1" thickBot="1" x14ac:dyDescent="0.3">
      <c r="A40" s="241" t="s">
        <v>304</v>
      </c>
      <c r="B40" s="184">
        <f>'Init 4'!G113</f>
        <v>0</v>
      </c>
      <c r="C40" s="208">
        <v>0</v>
      </c>
      <c r="D40" s="181">
        <f>'Init 4'!H113</f>
        <v>0</v>
      </c>
      <c r="E40" s="208">
        <v>0</v>
      </c>
      <c r="F40" s="181">
        <f>'Init 4'!I113</f>
        <v>0</v>
      </c>
      <c r="G40" s="208">
        <v>0</v>
      </c>
      <c r="H40" s="181">
        <f>'Init 4'!J113</f>
        <v>0</v>
      </c>
      <c r="I40" s="208">
        <v>0</v>
      </c>
      <c r="J40" s="181">
        <f>'Init 4'!K113</f>
        <v>0</v>
      </c>
      <c r="K40" s="216">
        <v>0</v>
      </c>
      <c r="L40" s="245">
        <f t="shared" si="2"/>
        <v>0</v>
      </c>
    </row>
    <row r="41" spans="1:12" s="188" customFormat="1" ht="15.75" hidden="1" outlineLevel="1" thickBot="1" x14ac:dyDescent="0.3">
      <c r="A41" s="242" t="s">
        <v>53</v>
      </c>
      <c r="B41" s="186">
        <f>'Init 4'!G114</f>
        <v>0</v>
      </c>
      <c r="C41" s="209">
        <f>SUM(C34:C40)</f>
        <v>0</v>
      </c>
      <c r="D41" s="187">
        <f ca="1">'Init 4'!H114</f>
        <v>705648.3</v>
      </c>
      <c r="E41" s="209">
        <f>SUM(E34:E40)</f>
        <v>4</v>
      </c>
      <c r="F41" s="187">
        <f ca="1">'Init 4'!I114</f>
        <v>0</v>
      </c>
      <c r="G41" s="209">
        <f>SUM(G34:G40)</f>
        <v>0</v>
      </c>
      <c r="H41" s="187">
        <f ca="1">'Init 4'!J114</f>
        <v>0</v>
      </c>
      <c r="I41" s="209">
        <f>SUM(I34:I40)</f>
        <v>0</v>
      </c>
      <c r="J41" s="187">
        <f ca="1">'Init 4'!K114</f>
        <v>0</v>
      </c>
      <c r="K41" s="217">
        <f>SUM(K34:K40)</f>
        <v>0</v>
      </c>
      <c r="L41" s="245">
        <f t="shared" ca="1" si="2"/>
        <v>705648.3</v>
      </c>
    </row>
    <row r="42" spans="1:12" ht="15.75" hidden="1" outlineLevel="1" thickBot="1" x14ac:dyDescent="0.3">
      <c r="A42" s="243" t="s">
        <v>96</v>
      </c>
      <c r="B42" s="184">
        <f>'Init 4'!G115</f>
        <v>0</v>
      </c>
      <c r="C42" s="210">
        <v>0</v>
      </c>
      <c r="D42" s="181">
        <f>'Init 4'!H115</f>
        <v>0</v>
      </c>
      <c r="E42" s="210">
        <v>0</v>
      </c>
      <c r="F42" s="181">
        <f>'Init 4'!I115</f>
        <v>0</v>
      </c>
      <c r="G42" s="210">
        <v>0</v>
      </c>
      <c r="H42" s="181">
        <f>'Init 4'!J115</f>
        <v>0</v>
      </c>
      <c r="I42" s="210">
        <v>0</v>
      </c>
      <c r="J42" s="181">
        <f>'Init 4'!K115</f>
        <v>0</v>
      </c>
      <c r="K42" s="218">
        <v>0</v>
      </c>
      <c r="L42" s="245">
        <f t="shared" si="2"/>
        <v>0</v>
      </c>
    </row>
    <row r="43" spans="1:12" s="188" customFormat="1" ht="15.75" collapsed="1" thickBot="1" x14ac:dyDescent="0.3">
      <c r="A43" s="234" t="s">
        <v>447</v>
      </c>
      <c r="B43" s="183">
        <f>'Init 5'!G103</f>
        <v>1672251</v>
      </c>
      <c r="C43" s="207">
        <f>SUM(C44:C50,C52)</f>
        <v>7</v>
      </c>
      <c r="D43" s="180">
        <f ca="1">'Init 5'!H103</f>
        <v>0</v>
      </c>
      <c r="E43" s="207">
        <f>SUM(E44:E50,E52)</f>
        <v>0</v>
      </c>
      <c r="F43" s="180">
        <f ca="1">'Init 5'!I103</f>
        <v>0</v>
      </c>
      <c r="G43" s="207">
        <f>SUM(G44:G50,G52)</f>
        <v>0</v>
      </c>
      <c r="H43" s="180">
        <f ca="1">'Init 5'!J103</f>
        <v>0</v>
      </c>
      <c r="I43" s="207">
        <f>SUM(I44:I50,I52)</f>
        <v>0</v>
      </c>
      <c r="J43" s="180">
        <f ca="1">'Init 5'!K103</f>
        <v>0</v>
      </c>
      <c r="K43" s="215">
        <f>SUM(K44:K50,K52)</f>
        <v>0</v>
      </c>
      <c r="L43" s="244">
        <f t="shared" ca="1" si="1"/>
        <v>1672251</v>
      </c>
    </row>
    <row r="44" spans="1:12" ht="15.75" hidden="1" outlineLevel="1" thickBot="1" x14ac:dyDescent="0.3">
      <c r="A44" s="241" t="s">
        <v>110</v>
      </c>
      <c r="B44" s="184">
        <f>'Init 5'!G105</f>
        <v>0</v>
      </c>
      <c r="C44" s="208">
        <f>'Init 5'!G21+'Init 5'!G22</f>
        <v>0</v>
      </c>
      <c r="D44" s="181">
        <f>'Init 5'!H105</f>
        <v>0</v>
      </c>
      <c r="E44" s="208">
        <f>'Init 5'!H21+'Init 5'!H22</f>
        <v>0</v>
      </c>
      <c r="F44" s="181">
        <f>'Init 5'!I105</f>
        <v>0</v>
      </c>
      <c r="G44" s="208">
        <f>'Init 5'!I21+'Init 5'!I22</f>
        <v>0</v>
      </c>
      <c r="H44" s="181">
        <f>'Init 5'!J105</f>
        <v>0</v>
      </c>
      <c r="I44" s="208">
        <f>'Init 5'!J21+'Init 5'!J22</f>
        <v>0</v>
      </c>
      <c r="J44" s="181">
        <f>'Init 5'!K105</f>
        <v>0</v>
      </c>
      <c r="K44" s="216">
        <f>'Init 5'!K21+'Init 5'!K22</f>
        <v>0</v>
      </c>
      <c r="L44" s="245">
        <f t="shared" si="1"/>
        <v>0</v>
      </c>
    </row>
    <row r="45" spans="1:12" ht="15.75" hidden="1" outlineLevel="1" thickBot="1" x14ac:dyDescent="0.3">
      <c r="A45" s="241" t="s">
        <v>111</v>
      </c>
      <c r="B45" s="184">
        <f>'Init 5'!G106</f>
        <v>0</v>
      </c>
      <c r="C45" s="208">
        <f>'Init 5'!G23</f>
        <v>0</v>
      </c>
      <c r="D45" s="181">
        <f>'Init 5'!H106</f>
        <v>0</v>
      </c>
      <c r="E45" s="208">
        <f>'Init 5'!H23</f>
        <v>0</v>
      </c>
      <c r="F45" s="181">
        <f>'Init 5'!I106</f>
        <v>0</v>
      </c>
      <c r="G45" s="208">
        <f>'Init 5'!I23</f>
        <v>0</v>
      </c>
      <c r="H45" s="181">
        <f>'Init 5'!J106</f>
        <v>0</v>
      </c>
      <c r="I45" s="208">
        <f>'Init 5'!J23</f>
        <v>0</v>
      </c>
      <c r="J45" s="181">
        <f>'Init 5'!K106</f>
        <v>0</v>
      </c>
      <c r="K45" s="216">
        <f>'Init 5'!K23</f>
        <v>0</v>
      </c>
      <c r="L45" s="245">
        <f t="shared" si="1"/>
        <v>0</v>
      </c>
    </row>
    <row r="46" spans="1:12" ht="15.75" hidden="1" outlineLevel="1" thickBot="1" x14ac:dyDescent="0.3">
      <c r="A46" s="241" t="s">
        <v>112</v>
      </c>
      <c r="B46" s="184">
        <f>'Init 5'!G107</f>
        <v>0</v>
      </c>
      <c r="C46" s="208">
        <f>'Init 5'!G24</f>
        <v>0</v>
      </c>
      <c r="D46" s="181">
        <f>'Init 5'!H107</f>
        <v>0</v>
      </c>
      <c r="E46" s="208">
        <f>'Init 5'!H24</f>
        <v>0</v>
      </c>
      <c r="F46" s="181">
        <f>'Init 5'!I107</f>
        <v>0</v>
      </c>
      <c r="G46" s="208">
        <f>'Init 5'!I24</f>
        <v>0</v>
      </c>
      <c r="H46" s="181">
        <f>'Init 5'!J107</f>
        <v>0</v>
      </c>
      <c r="I46" s="208">
        <f>'Init 5'!J24</f>
        <v>0</v>
      </c>
      <c r="J46" s="181">
        <f>'Init 5'!K107</f>
        <v>0</v>
      </c>
      <c r="K46" s="216">
        <f>'Init 5'!K24</f>
        <v>0</v>
      </c>
      <c r="L46" s="245">
        <f t="shared" si="1"/>
        <v>0</v>
      </c>
    </row>
    <row r="47" spans="1:12" ht="15.75" hidden="1" outlineLevel="1" thickBot="1" x14ac:dyDescent="0.3">
      <c r="A47" s="241" t="s">
        <v>113</v>
      </c>
      <c r="B47" s="184">
        <f>'Init 5'!G108</f>
        <v>0</v>
      </c>
      <c r="C47" s="208">
        <f>'Init 5'!G25+'Init 5'!G26</f>
        <v>0</v>
      </c>
      <c r="D47" s="181">
        <f>'Init 5'!H108</f>
        <v>0</v>
      </c>
      <c r="E47" s="208">
        <f>'Init 5'!H25+'Init 5'!H26</f>
        <v>0</v>
      </c>
      <c r="F47" s="181">
        <f>'Init 5'!I108</f>
        <v>0</v>
      </c>
      <c r="G47" s="208">
        <f>'Init 5'!I25+'Init 5'!I26</f>
        <v>0</v>
      </c>
      <c r="H47" s="181">
        <f>'Init 5'!J108</f>
        <v>0</v>
      </c>
      <c r="I47" s="208">
        <f>'Init 5'!J25+'Init 5'!J26</f>
        <v>0</v>
      </c>
      <c r="J47" s="181">
        <f>'Init 5'!K108</f>
        <v>0</v>
      </c>
      <c r="K47" s="216">
        <f>'Init 5'!K25+'Init 5'!K26</f>
        <v>0</v>
      </c>
      <c r="L47" s="245">
        <f t="shared" si="1"/>
        <v>0</v>
      </c>
    </row>
    <row r="48" spans="1:12" ht="15.75" hidden="1" outlineLevel="1" thickBot="1" x14ac:dyDescent="0.3">
      <c r="A48" s="241" t="s">
        <v>49</v>
      </c>
      <c r="B48" s="184">
        <f>'Init 5'!G109</f>
        <v>1601600</v>
      </c>
      <c r="C48" s="208">
        <f>'Init 5'!G27+'Init 5'!G28</f>
        <v>7</v>
      </c>
      <c r="D48" s="181">
        <f>'Init 5'!H109</f>
        <v>0</v>
      </c>
      <c r="E48" s="208">
        <f>'Init 5'!H27+'Init 5'!H28</f>
        <v>0</v>
      </c>
      <c r="F48" s="181">
        <f>'Init 5'!I109</f>
        <v>0</v>
      </c>
      <c r="G48" s="208">
        <f>'Init 5'!I27+'Init 5'!I28</f>
        <v>0</v>
      </c>
      <c r="H48" s="181">
        <f>'Init 5'!J109</f>
        <v>0</v>
      </c>
      <c r="I48" s="208">
        <f>'Init 5'!J27+'Init 5'!J28</f>
        <v>0</v>
      </c>
      <c r="J48" s="181">
        <f>'Init 5'!K109</f>
        <v>0</v>
      </c>
      <c r="K48" s="216">
        <f>'Init 5'!K27+'Init 5'!K28</f>
        <v>0</v>
      </c>
      <c r="L48" s="245">
        <f t="shared" si="1"/>
        <v>1601600</v>
      </c>
    </row>
    <row r="49" spans="1:12" ht="15.75" hidden="1" outlineLevel="1" thickBot="1" x14ac:dyDescent="0.3">
      <c r="A49" s="241" t="s">
        <v>303</v>
      </c>
      <c r="B49" s="184">
        <f>'Init 5'!G110</f>
        <v>70651</v>
      </c>
      <c r="C49" s="208">
        <v>0</v>
      </c>
      <c r="D49" s="181">
        <f ca="1">'Init 5'!H110</f>
        <v>0</v>
      </c>
      <c r="E49" s="208">
        <v>0</v>
      </c>
      <c r="F49" s="181">
        <f ca="1">'Init 5'!I110</f>
        <v>0</v>
      </c>
      <c r="G49" s="208">
        <v>0</v>
      </c>
      <c r="H49" s="181">
        <f ca="1">'Init 5'!J110</f>
        <v>0</v>
      </c>
      <c r="I49" s="208">
        <v>0</v>
      </c>
      <c r="J49" s="181">
        <f ca="1">'Init 5'!K110</f>
        <v>0</v>
      </c>
      <c r="K49" s="216">
        <v>0</v>
      </c>
      <c r="L49" s="245">
        <f t="shared" ca="1" si="1"/>
        <v>70651</v>
      </c>
    </row>
    <row r="50" spans="1:12" ht="15.75" hidden="1" outlineLevel="1" thickBot="1" x14ac:dyDescent="0.3">
      <c r="A50" s="241" t="s">
        <v>304</v>
      </c>
      <c r="B50" s="184">
        <f>'Init 5'!G111</f>
        <v>0</v>
      </c>
      <c r="C50" s="208">
        <v>0</v>
      </c>
      <c r="D50" s="181">
        <f>'Init 5'!H111</f>
        <v>0</v>
      </c>
      <c r="E50" s="208">
        <v>0</v>
      </c>
      <c r="F50" s="181">
        <f>'Init 5'!I111</f>
        <v>0</v>
      </c>
      <c r="G50" s="208">
        <v>0</v>
      </c>
      <c r="H50" s="181">
        <f>'Init 5'!J111</f>
        <v>0</v>
      </c>
      <c r="I50" s="208">
        <v>0</v>
      </c>
      <c r="J50" s="181">
        <f>'Init 5'!K111</f>
        <v>0</v>
      </c>
      <c r="K50" s="216">
        <v>0</v>
      </c>
      <c r="L50" s="245">
        <f t="shared" si="1"/>
        <v>0</v>
      </c>
    </row>
    <row r="51" spans="1:12" s="188" customFormat="1" ht="15.75" hidden="1" outlineLevel="1" thickBot="1" x14ac:dyDescent="0.3">
      <c r="A51" s="242" t="s">
        <v>53</v>
      </c>
      <c r="B51" s="186">
        <f>'Init 5'!G112</f>
        <v>1672251</v>
      </c>
      <c r="C51" s="209">
        <f>SUM(C44:C50)</f>
        <v>7</v>
      </c>
      <c r="D51" s="187">
        <f ca="1">'Init 5'!H112</f>
        <v>0</v>
      </c>
      <c r="E51" s="209">
        <f>SUM(E44:E50)</f>
        <v>0</v>
      </c>
      <c r="F51" s="187">
        <f ca="1">'Init 5'!I112</f>
        <v>0</v>
      </c>
      <c r="G51" s="209">
        <f>SUM(G44:G50)</f>
        <v>0</v>
      </c>
      <c r="H51" s="187">
        <f ca="1">'Init 5'!J112</f>
        <v>0</v>
      </c>
      <c r="I51" s="209">
        <f>SUM(I44:I50)</f>
        <v>0</v>
      </c>
      <c r="J51" s="187">
        <f ca="1">'Init 5'!K112</f>
        <v>0</v>
      </c>
      <c r="K51" s="217">
        <f>SUM(K44:K50)</f>
        <v>0</v>
      </c>
      <c r="L51" s="245">
        <f t="shared" ca="1" si="1"/>
        <v>1672251</v>
      </c>
    </row>
    <row r="52" spans="1:12" ht="15.75" hidden="1" outlineLevel="1" thickBot="1" x14ac:dyDescent="0.3">
      <c r="A52" s="243" t="s">
        <v>96</v>
      </c>
      <c r="B52" s="185">
        <f>'Init 5'!G113</f>
        <v>0</v>
      </c>
      <c r="C52" s="210">
        <v>0</v>
      </c>
      <c r="D52" s="182">
        <f>'Init 5'!H113</f>
        <v>0</v>
      </c>
      <c r="E52" s="210">
        <v>0</v>
      </c>
      <c r="F52" s="182">
        <f>'Init 5'!I113</f>
        <v>0</v>
      </c>
      <c r="G52" s="210">
        <v>0</v>
      </c>
      <c r="H52" s="182">
        <f>'Init 5'!J113</f>
        <v>0</v>
      </c>
      <c r="I52" s="210">
        <v>0</v>
      </c>
      <c r="J52" s="182">
        <f>'Init 5'!K113</f>
        <v>0</v>
      </c>
      <c r="K52" s="218">
        <v>0</v>
      </c>
      <c r="L52" s="245">
        <f t="shared" si="1"/>
        <v>0</v>
      </c>
    </row>
    <row r="53" spans="1:12" s="188" customFormat="1" ht="15.75" collapsed="1" thickBot="1" x14ac:dyDescent="0.3">
      <c r="A53" s="234" t="s">
        <v>333</v>
      </c>
      <c r="B53" s="183">
        <f>'Init 6'!G128</f>
        <v>206573.16</v>
      </c>
      <c r="C53" s="207">
        <f>SUM(C54:C60,C62)</f>
        <v>1.4586538461538461</v>
      </c>
      <c r="D53" s="180">
        <f ca="1">'Init 6'!H128</f>
        <v>34349.256480000004</v>
      </c>
      <c r="E53" s="207">
        <f>SUM(E54:E60,E62)</f>
        <v>0.26865384615384619</v>
      </c>
      <c r="F53" s="180">
        <f ca="1">'Init 6'!I128</f>
        <v>34864.495327199991</v>
      </c>
      <c r="G53" s="207">
        <f>SUM(G54:G60,G62)</f>
        <v>0.26865384615384619</v>
      </c>
      <c r="H53" s="180">
        <f ca="1">'Init 6'!J128</f>
        <v>35387.462757107991</v>
      </c>
      <c r="I53" s="207">
        <f>SUM(I54:I60,I62)</f>
        <v>0.26865384615384619</v>
      </c>
      <c r="J53" s="180">
        <f ca="1">'Init 6'!K128</f>
        <v>35918.274698464615</v>
      </c>
      <c r="K53" s="215">
        <f>SUM(K54:K60,K62)</f>
        <v>0.27442307692307694</v>
      </c>
      <c r="L53" s="244">
        <f t="shared" ref="L53:L81" ca="1" si="3">B53+D53+F53+H53+J53</f>
        <v>347092.64926277258</v>
      </c>
    </row>
    <row r="54" spans="1:12" ht="15.75" hidden="1" outlineLevel="1" thickBot="1" x14ac:dyDescent="0.3">
      <c r="A54" s="241" t="s">
        <v>110</v>
      </c>
      <c r="B54" s="184">
        <f>'Init 6'!G130</f>
        <v>95801.76</v>
      </c>
      <c r="C54" s="239">
        <f>'Init 6'!G21+'Init 6'!G22</f>
        <v>1.0182692307692307</v>
      </c>
      <c r="D54" s="181">
        <f>'Init 6'!H130</f>
        <v>18366.173279999999</v>
      </c>
      <c r="E54" s="208">
        <f>'Init 6'!H21+'Init 6'!H22</f>
        <v>0.19211538461538463</v>
      </c>
      <c r="F54" s="181">
        <f>'Init 6'!I130</f>
        <v>18641.665879200002</v>
      </c>
      <c r="G54" s="208">
        <f>'Init 6'!I21+'Init 6'!I22</f>
        <v>0.19211538461538463</v>
      </c>
      <c r="H54" s="181">
        <f>'Init 6'!J130</f>
        <v>18921.290867388001</v>
      </c>
      <c r="I54" s="208">
        <f>'Init 6'!J21+'Init 6'!J22</f>
        <v>0.19211538461538463</v>
      </c>
      <c r="J54" s="181">
        <f>'Init 6'!K130</f>
        <v>19205.110230398815</v>
      </c>
      <c r="K54" s="216">
        <f>'Init 6'!K21+'Init 6'!K22</f>
        <v>0.19211538461538463</v>
      </c>
      <c r="L54" s="245">
        <f t="shared" si="3"/>
        <v>170936.00025698682</v>
      </c>
    </row>
    <row r="55" spans="1:12" ht="15.75" hidden="1" outlineLevel="1" thickBot="1" x14ac:dyDescent="0.3">
      <c r="A55" s="241" t="s">
        <v>111</v>
      </c>
      <c r="B55" s="184">
        <f>'Init 6'!G131</f>
        <v>10567.199999999999</v>
      </c>
      <c r="C55" s="239">
        <f>'Init 6'!G23</f>
        <v>0.11442307692307691</v>
      </c>
      <c r="D55" s="181">
        <f>'Init 6'!H131</f>
        <v>2145.1415999999999</v>
      </c>
      <c r="E55" s="208">
        <f>'Init 6'!H23</f>
        <v>2.2884615384615385E-2</v>
      </c>
      <c r="F55" s="181">
        <f>'Init 6'!I131</f>
        <v>2177.3187239999997</v>
      </c>
      <c r="G55" s="208">
        <f>'Init 6'!I23</f>
        <v>2.2884615384615385E-2</v>
      </c>
      <c r="H55" s="181">
        <f>'Init 6'!J131</f>
        <v>2209.9785048599997</v>
      </c>
      <c r="I55" s="208">
        <f>'Init 6'!J23</f>
        <v>2.2884615384615385E-2</v>
      </c>
      <c r="J55" s="181">
        <f>'Init 6'!K131</f>
        <v>2243.1281824328994</v>
      </c>
      <c r="K55" s="216">
        <f>'Init 6'!K23</f>
        <v>2.2884615384615385E-2</v>
      </c>
      <c r="L55" s="245">
        <f t="shared" si="3"/>
        <v>19342.767011292897</v>
      </c>
    </row>
    <row r="56" spans="1:12" ht="15.75" hidden="1" outlineLevel="1" thickBot="1" x14ac:dyDescent="0.3">
      <c r="A56" s="241" t="s">
        <v>112</v>
      </c>
      <c r="B56" s="184">
        <f>'Init 6'!G132</f>
        <v>0</v>
      </c>
      <c r="C56" s="239">
        <f>'Init 6'!G24</f>
        <v>0</v>
      </c>
      <c r="D56" s="181">
        <f>'Init 6'!H132</f>
        <v>0</v>
      </c>
      <c r="E56" s="208">
        <f>'Init 6'!H24</f>
        <v>0</v>
      </c>
      <c r="F56" s="181">
        <f>'Init 6'!I132</f>
        <v>0</v>
      </c>
      <c r="G56" s="208">
        <f>'Init 6'!I24</f>
        <v>0</v>
      </c>
      <c r="H56" s="181">
        <f>'Init 6'!J132</f>
        <v>0</v>
      </c>
      <c r="I56" s="208">
        <f>'Init 6'!J24</f>
        <v>0</v>
      </c>
      <c r="J56" s="181">
        <f>'Init 6'!K132</f>
        <v>0</v>
      </c>
      <c r="K56" s="216">
        <f>'Init 6'!K24</f>
        <v>0</v>
      </c>
      <c r="L56" s="245">
        <f t="shared" si="3"/>
        <v>0</v>
      </c>
    </row>
    <row r="57" spans="1:12" ht="15.75" hidden="1" outlineLevel="1" thickBot="1" x14ac:dyDescent="0.3">
      <c r="A57" s="241" t="s">
        <v>113</v>
      </c>
      <c r="B57" s="184">
        <f>'Init 6'!G133</f>
        <v>10567.199999999999</v>
      </c>
      <c r="C57" s="239">
        <f>'Init 6'!G25+'Init 6'!G26</f>
        <v>0.11442307692307691</v>
      </c>
      <c r="D57" s="181">
        <f>'Init 6'!H133</f>
        <v>2145.1415999999999</v>
      </c>
      <c r="E57" s="208">
        <f>'Init 6'!H25+'Init 6'!H26</f>
        <v>2.2884615384615385E-2</v>
      </c>
      <c r="F57" s="181">
        <f>'Init 6'!I133</f>
        <v>2177.3187239999997</v>
      </c>
      <c r="G57" s="208">
        <f>'Init 6'!I25+'Init 6'!I26</f>
        <v>2.2884615384615385E-2</v>
      </c>
      <c r="H57" s="181">
        <f>'Init 6'!J133</f>
        <v>2209.9785048599997</v>
      </c>
      <c r="I57" s="208">
        <f>'Init 6'!J25+'Init 6'!J26</f>
        <v>2.2884615384615385E-2</v>
      </c>
      <c r="J57" s="181">
        <f>'Init 6'!K133</f>
        <v>2243.1281824328994</v>
      </c>
      <c r="K57" s="216">
        <f>'Init 6'!K25+'Init 6'!K26</f>
        <v>2.2884615384615385E-2</v>
      </c>
      <c r="L57" s="245">
        <f t="shared" si="3"/>
        <v>19342.767011292897</v>
      </c>
    </row>
    <row r="58" spans="1:12" ht="15.75" hidden="1" outlineLevel="1" thickBot="1" x14ac:dyDescent="0.3">
      <c r="A58" s="241" t="s">
        <v>49</v>
      </c>
      <c r="B58" s="184">
        <f>'Init 6'!G134</f>
        <v>79200</v>
      </c>
      <c r="C58" s="239">
        <f>'Init 6'!G27+'Init 6'!G28</f>
        <v>0.21153846153846154</v>
      </c>
      <c r="D58" s="181">
        <f>'Init 6'!H134</f>
        <v>11692.8</v>
      </c>
      <c r="E58" s="208">
        <f>'Init 6'!H27+'Init 6'!H28</f>
        <v>3.0769230769230771E-2</v>
      </c>
      <c r="F58" s="181">
        <f>'Init 6'!I134</f>
        <v>11868.191999999999</v>
      </c>
      <c r="G58" s="208">
        <f>'Init 6'!I27+'Init 6'!I28</f>
        <v>3.0769230769230771E-2</v>
      </c>
      <c r="H58" s="181">
        <f>'Init 6'!J134</f>
        <v>12046.214879999996</v>
      </c>
      <c r="I58" s="208">
        <f>'Init 6'!J27+'Init 6'!J28</f>
        <v>3.0769230769230771E-2</v>
      </c>
      <c r="J58" s="181">
        <f>'Init 6'!K134</f>
        <v>12226.908103199996</v>
      </c>
      <c r="K58" s="216">
        <f>'Init 6'!K27+'Init 6'!K28</f>
        <v>3.653846153846154E-2</v>
      </c>
      <c r="L58" s="245">
        <f t="shared" si="3"/>
        <v>127034.11498319999</v>
      </c>
    </row>
    <row r="59" spans="1:12" ht="15.75" hidden="1" outlineLevel="1" thickBot="1" x14ac:dyDescent="0.3">
      <c r="A59" s="241" t="s">
        <v>303</v>
      </c>
      <c r="B59" s="184">
        <f>'Init 6'!G135</f>
        <v>10437</v>
      </c>
      <c r="C59" s="239">
        <v>0</v>
      </c>
      <c r="D59" s="181">
        <f ca="1">'Init 6'!H135</f>
        <v>0</v>
      </c>
      <c r="E59" s="208">
        <v>0</v>
      </c>
      <c r="F59" s="181">
        <f ca="1">'Init 6'!I135</f>
        <v>0</v>
      </c>
      <c r="G59" s="208">
        <v>0</v>
      </c>
      <c r="H59" s="181">
        <f ca="1">'Init 6'!J135</f>
        <v>0</v>
      </c>
      <c r="I59" s="208">
        <v>0</v>
      </c>
      <c r="J59" s="181">
        <f ca="1">'Init 6'!K135</f>
        <v>0</v>
      </c>
      <c r="K59" s="216">
        <v>0</v>
      </c>
      <c r="L59" s="245">
        <f t="shared" ca="1" si="3"/>
        <v>10437</v>
      </c>
    </row>
    <row r="60" spans="1:12" ht="15.75" hidden="1" outlineLevel="1" thickBot="1" x14ac:dyDescent="0.3">
      <c r="A60" s="241" t="s">
        <v>304</v>
      </c>
      <c r="B60" s="184">
        <f>'Init 6'!G136</f>
        <v>0</v>
      </c>
      <c r="C60" s="239">
        <v>0</v>
      </c>
      <c r="D60" s="181">
        <f>'Init 6'!H136</f>
        <v>0</v>
      </c>
      <c r="E60" s="208">
        <v>0</v>
      </c>
      <c r="F60" s="181">
        <f>'Init 6'!I136</f>
        <v>0</v>
      </c>
      <c r="G60" s="208">
        <v>0</v>
      </c>
      <c r="H60" s="181">
        <f>'Init 6'!J136</f>
        <v>0</v>
      </c>
      <c r="I60" s="208">
        <v>0</v>
      </c>
      <c r="J60" s="181">
        <f>'Init 6'!K136</f>
        <v>0</v>
      </c>
      <c r="K60" s="216">
        <v>0</v>
      </c>
      <c r="L60" s="245">
        <f t="shared" si="3"/>
        <v>0</v>
      </c>
    </row>
    <row r="61" spans="1:12" s="188" customFormat="1" ht="15.75" hidden="1" outlineLevel="1" thickBot="1" x14ac:dyDescent="0.3">
      <c r="A61" s="242" t="s">
        <v>53</v>
      </c>
      <c r="B61" s="186">
        <f>'Init 6'!G137</f>
        <v>206573.15999999997</v>
      </c>
      <c r="C61" s="209">
        <f>SUM(C54:C60)</f>
        <v>1.4586538461538461</v>
      </c>
      <c r="D61" s="187">
        <f ca="1">'Init 6'!H137</f>
        <v>34349.256479999996</v>
      </c>
      <c r="E61" s="209">
        <f>SUM(E54:E60)</f>
        <v>0.26865384615384619</v>
      </c>
      <c r="F61" s="187">
        <f ca="1">'Init 6'!I137</f>
        <v>34864.495327199998</v>
      </c>
      <c r="G61" s="209">
        <f>SUM(G54:G60)</f>
        <v>0.26865384615384619</v>
      </c>
      <c r="H61" s="187">
        <f ca="1">'Init 6'!J137</f>
        <v>35387.462757107991</v>
      </c>
      <c r="I61" s="209">
        <f>SUM(I54:I60)</f>
        <v>0.26865384615384619</v>
      </c>
      <c r="J61" s="187">
        <f ca="1">'Init 6'!K137</f>
        <v>35918.274698464607</v>
      </c>
      <c r="K61" s="217">
        <f>SUM(K54:K60)</f>
        <v>0.27442307692307694</v>
      </c>
      <c r="L61" s="245">
        <f t="shared" ca="1" si="3"/>
        <v>347092.64926277252</v>
      </c>
    </row>
    <row r="62" spans="1:12" ht="15.75" hidden="1" outlineLevel="1" thickBot="1" x14ac:dyDescent="0.3">
      <c r="A62" s="243" t="s">
        <v>96</v>
      </c>
      <c r="B62" s="185">
        <f>'Init 6'!G138</f>
        <v>0</v>
      </c>
      <c r="C62" s="210">
        <v>0</v>
      </c>
      <c r="D62" s="182">
        <f>'Init 6'!H138</f>
        <v>0</v>
      </c>
      <c r="E62" s="210">
        <v>0</v>
      </c>
      <c r="F62" s="182">
        <f>'Init 6'!I138</f>
        <v>0</v>
      </c>
      <c r="G62" s="210">
        <v>0</v>
      </c>
      <c r="H62" s="182">
        <f>'Init 6'!J138</f>
        <v>0</v>
      </c>
      <c r="I62" s="210">
        <v>0</v>
      </c>
      <c r="J62" s="182">
        <f>'Init 6'!K138</f>
        <v>0</v>
      </c>
      <c r="K62" s="218">
        <v>0</v>
      </c>
      <c r="L62" s="245">
        <f t="shared" si="3"/>
        <v>0</v>
      </c>
    </row>
    <row r="63" spans="1:12" s="188" customFormat="1" ht="15.75" collapsed="1" thickBot="1" x14ac:dyDescent="0.3">
      <c r="A63" s="234" t="s">
        <v>448</v>
      </c>
      <c r="B63" s="183">
        <f>'Init 7'!G95</f>
        <v>111812.4</v>
      </c>
      <c r="C63" s="207">
        <f>SUM(C64:C70,C72)</f>
        <v>0.73124999999999996</v>
      </c>
      <c r="D63" s="180">
        <f>'Init 7'!H95</f>
        <v>0</v>
      </c>
      <c r="E63" s="207">
        <f>SUM(E64:E70,E72)</f>
        <v>0</v>
      </c>
      <c r="F63" s="180">
        <f>'Init 7'!I95</f>
        <v>0</v>
      </c>
      <c r="G63" s="207">
        <f>SUM(G64:G70,G72)</f>
        <v>0</v>
      </c>
      <c r="H63" s="180">
        <f>'Init 7'!J95</f>
        <v>0</v>
      </c>
      <c r="I63" s="207">
        <f>SUM(I64:I70,I72)</f>
        <v>0</v>
      </c>
      <c r="J63" s="180">
        <f>'Init 7'!K95</f>
        <v>0</v>
      </c>
      <c r="K63" s="215">
        <f>SUM(K64:K70,K72)</f>
        <v>0</v>
      </c>
      <c r="L63" s="244">
        <f t="shared" si="3"/>
        <v>111812.4</v>
      </c>
    </row>
    <row r="64" spans="1:12" ht="15.75" hidden="1" outlineLevel="1" thickBot="1" x14ac:dyDescent="0.3">
      <c r="A64" s="241" t="s">
        <v>110</v>
      </c>
      <c r="B64" s="184">
        <f>'Init 7'!G97</f>
        <v>33078</v>
      </c>
      <c r="C64" s="208">
        <f>'Init 7'!G21+'Init 7'!G22</f>
        <v>0.35817307692307693</v>
      </c>
      <c r="D64" s="181">
        <f>'Init 7'!I97</f>
        <v>0</v>
      </c>
      <c r="E64" s="208">
        <f>'Init 7'!H21+'Init 7'!H22</f>
        <v>0</v>
      </c>
      <c r="F64" s="181">
        <f>'Init 7'!I97</f>
        <v>0</v>
      </c>
      <c r="G64" s="208">
        <f>'Init 7'!I21+'Init 7'!I22</f>
        <v>0</v>
      </c>
      <c r="H64" s="181">
        <f>'Init 7'!J97</f>
        <v>0</v>
      </c>
      <c r="I64" s="208">
        <f>'Init 7'!J21+'Init 7'!J22</f>
        <v>0</v>
      </c>
      <c r="J64" s="181">
        <f>'Init 7'!K97</f>
        <v>0</v>
      </c>
      <c r="K64" s="216">
        <f>'Init 7'!O21+'Init 7'!K22</f>
        <v>0</v>
      </c>
      <c r="L64" s="245">
        <f t="shared" si="3"/>
        <v>33078</v>
      </c>
    </row>
    <row r="65" spans="1:12" ht="15.75" hidden="1" outlineLevel="1" thickBot="1" x14ac:dyDescent="0.3">
      <c r="A65" s="241" t="s">
        <v>111</v>
      </c>
      <c r="B65" s="184">
        <f>'Init 7'!G98</f>
        <v>21134.400000000001</v>
      </c>
      <c r="C65" s="208">
        <f>'Init 7'!G23</f>
        <v>0.22884615384615387</v>
      </c>
      <c r="D65" s="181">
        <f>'Init 7'!I98</f>
        <v>0</v>
      </c>
      <c r="E65" s="208">
        <f>'Init 7'!H23</f>
        <v>0</v>
      </c>
      <c r="F65" s="181">
        <f>'Init 7'!I98</f>
        <v>0</v>
      </c>
      <c r="G65" s="208">
        <f>'Init 7'!I23</f>
        <v>0</v>
      </c>
      <c r="H65" s="181">
        <f>'Init 7'!J98</f>
        <v>0</v>
      </c>
      <c r="I65" s="208">
        <f>'Init 7'!J23</f>
        <v>0</v>
      </c>
      <c r="J65" s="181">
        <f>'Init 7'!K98</f>
        <v>0</v>
      </c>
      <c r="K65" s="216">
        <f>'Init 7'!K23</f>
        <v>0</v>
      </c>
      <c r="L65" s="245">
        <f t="shared" si="3"/>
        <v>21134.400000000001</v>
      </c>
    </row>
    <row r="66" spans="1:12" ht="15.75" hidden="1" outlineLevel="1" thickBot="1" x14ac:dyDescent="0.3">
      <c r="A66" s="241" t="s">
        <v>112</v>
      </c>
      <c r="B66" s="184">
        <f>'Init 7'!G99</f>
        <v>0</v>
      </c>
      <c r="C66" s="208">
        <f>'Init 7'!G24</f>
        <v>0</v>
      </c>
      <c r="D66" s="181">
        <f>'Init 7'!I99</f>
        <v>0</v>
      </c>
      <c r="E66" s="208">
        <f>'Init 7'!H24</f>
        <v>0</v>
      </c>
      <c r="F66" s="181">
        <f>'Init 7'!I99</f>
        <v>0</v>
      </c>
      <c r="G66" s="208">
        <f>'Init 7'!I24</f>
        <v>0</v>
      </c>
      <c r="H66" s="181">
        <f>'Init 7'!J99</f>
        <v>0</v>
      </c>
      <c r="I66" s="208">
        <f>'Init 7'!J24</f>
        <v>0</v>
      </c>
      <c r="J66" s="181">
        <f>'Init 7'!K99</f>
        <v>0</v>
      </c>
      <c r="K66" s="216">
        <f>'Init 7'!K24</f>
        <v>0</v>
      </c>
      <c r="L66" s="245">
        <f t="shared" si="3"/>
        <v>0</v>
      </c>
    </row>
    <row r="67" spans="1:12" ht="15.75" hidden="1" outlineLevel="1" thickBot="1" x14ac:dyDescent="0.3">
      <c r="A67" s="241" t="s">
        <v>113</v>
      </c>
      <c r="B67" s="184">
        <f>'Init 7'!G100</f>
        <v>0</v>
      </c>
      <c r="C67" s="208">
        <f>'Init 7'!G25+'Init 7'!G26</f>
        <v>0</v>
      </c>
      <c r="D67" s="181">
        <f>'Init 7'!I100</f>
        <v>0</v>
      </c>
      <c r="E67" s="208">
        <f>'Init 7'!H25+'Init 7'!H26</f>
        <v>0</v>
      </c>
      <c r="F67" s="181">
        <f>'Init 7'!I100</f>
        <v>0</v>
      </c>
      <c r="G67" s="208">
        <f>'Init 7'!I25+'Init 7'!I26</f>
        <v>0</v>
      </c>
      <c r="H67" s="181">
        <f>'Init 7'!J100</f>
        <v>0</v>
      </c>
      <c r="I67" s="208">
        <f>'Init 7'!J25+'Init 7'!J26</f>
        <v>0</v>
      </c>
      <c r="J67" s="181">
        <f>'Init 7'!K100</f>
        <v>0</v>
      </c>
      <c r="K67" s="216">
        <f>'Init 7'!K25+'Init 7'!K26</f>
        <v>0</v>
      </c>
      <c r="L67" s="245">
        <f t="shared" si="3"/>
        <v>0</v>
      </c>
    </row>
    <row r="68" spans="1:12" ht="15.75" hidden="1" outlineLevel="1" thickBot="1" x14ac:dyDescent="0.3">
      <c r="A68" s="241" t="s">
        <v>49</v>
      </c>
      <c r="B68" s="184">
        <f>'Init 7'!G101</f>
        <v>57600</v>
      </c>
      <c r="C68" s="208">
        <f>'Init 7'!G27+'Init 7'!G28</f>
        <v>0.14423076923076922</v>
      </c>
      <c r="D68" s="181">
        <f>'Init 7'!I101</f>
        <v>0</v>
      </c>
      <c r="E68" s="208">
        <f>'Init 7'!H27+'Init 7'!H28</f>
        <v>0</v>
      </c>
      <c r="F68" s="181">
        <f>'Init 7'!I101</f>
        <v>0</v>
      </c>
      <c r="G68" s="208">
        <f>'Init 7'!I27+'Init 7'!I28</f>
        <v>0</v>
      </c>
      <c r="H68" s="181">
        <f>'Init 7'!J101</f>
        <v>0</v>
      </c>
      <c r="I68" s="208">
        <f>'Init 7'!J27+'Init 7'!J28</f>
        <v>0</v>
      </c>
      <c r="J68" s="181">
        <f>'Init 7'!K101</f>
        <v>0</v>
      </c>
      <c r="K68" s="216">
        <f>'Init 7'!K27+'Init 7'!K28</f>
        <v>0</v>
      </c>
      <c r="L68" s="245">
        <f t="shared" si="3"/>
        <v>57600</v>
      </c>
    </row>
    <row r="69" spans="1:12" ht="15.75" hidden="1" outlineLevel="1" thickBot="1" x14ac:dyDescent="0.3">
      <c r="A69" s="241" t="s">
        <v>303</v>
      </c>
      <c r="B69" s="184">
        <f>'Init 7'!G102</f>
        <v>0</v>
      </c>
      <c r="C69" s="208">
        <v>0</v>
      </c>
      <c r="D69" s="181">
        <f>'Init 7'!I102</f>
        <v>0</v>
      </c>
      <c r="E69" s="208">
        <v>0</v>
      </c>
      <c r="F69" s="181">
        <f>'Init 7'!I102</f>
        <v>0</v>
      </c>
      <c r="G69" s="208">
        <v>0</v>
      </c>
      <c r="H69" s="181">
        <f>'Init 7'!J102</f>
        <v>0</v>
      </c>
      <c r="I69" s="208">
        <v>0</v>
      </c>
      <c r="J69" s="181">
        <f>'Init 7'!K102</f>
        <v>0</v>
      </c>
      <c r="K69" s="216">
        <v>0</v>
      </c>
      <c r="L69" s="245">
        <f t="shared" si="3"/>
        <v>0</v>
      </c>
    </row>
    <row r="70" spans="1:12" ht="15.75" hidden="1" outlineLevel="1" thickBot="1" x14ac:dyDescent="0.3">
      <c r="A70" s="241" t="s">
        <v>304</v>
      </c>
      <c r="B70" s="184">
        <f>'Init 7'!G103</f>
        <v>0</v>
      </c>
      <c r="C70" s="208">
        <v>0</v>
      </c>
      <c r="D70" s="181">
        <f>'Init 7'!I103</f>
        <v>0</v>
      </c>
      <c r="E70" s="208">
        <v>0</v>
      </c>
      <c r="F70" s="181">
        <f>'Init 7'!I103</f>
        <v>0</v>
      </c>
      <c r="G70" s="208">
        <v>0</v>
      </c>
      <c r="H70" s="181">
        <f>'Init 7'!J103</f>
        <v>0</v>
      </c>
      <c r="I70" s="208">
        <v>0</v>
      </c>
      <c r="J70" s="181">
        <f>'Init 7'!K103</f>
        <v>0</v>
      </c>
      <c r="K70" s="216">
        <v>0</v>
      </c>
      <c r="L70" s="245">
        <f t="shared" si="3"/>
        <v>0</v>
      </c>
    </row>
    <row r="71" spans="1:12" s="188" customFormat="1" ht="15.75" hidden="1" outlineLevel="1" thickBot="1" x14ac:dyDescent="0.3">
      <c r="A71" s="242" t="s">
        <v>53</v>
      </c>
      <c r="B71" s="186">
        <f>'Init 7'!G104</f>
        <v>111812.4</v>
      </c>
      <c r="C71" s="209">
        <f>SUM(C64:C70)</f>
        <v>0.73124999999999996</v>
      </c>
      <c r="D71" s="187">
        <f>'Init 7'!I104</f>
        <v>0</v>
      </c>
      <c r="E71" s="209">
        <f>SUM(E64:E70)</f>
        <v>0</v>
      </c>
      <c r="F71" s="187">
        <f>'Init 7'!I104</f>
        <v>0</v>
      </c>
      <c r="G71" s="209">
        <f>SUM(G64:G70)</f>
        <v>0</v>
      </c>
      <c r="H71" s="187">
        <f>'Init 7'!J104</f>
        <v>0</v>
      </c>
      <c r="I71" s="209">
        <f>SUM(I64:I70)</f>
        <v>0</v>
      </c>
      <c r="J71" s="187">
        <f>'Init 7'!K104</f>
        <v>0</v>
      </c>
      <c r="K71" s="217">
        <f>SUM(K64:K70)</f>
        <v>0</v>
      </c>
      <c r="L71" s="245">
        <f t="shared" si="3"/>
        <v>111812.4</v>
      </c>
    </row>
    <row r="72" spans="1:12" ht="15.75" hidden="1" outlineLevel="1" thickBot="1" x14ac:dyDescent="0.3">
      <c r="A72" s="243" t="s">
        <v>96</v>
      </c>
      <c r="B72" s="185">
        <f>'Init 7'!G105</f>
        <v>0</v>
      </c>
      <c r="C72" s="210">
        <v>0</v>
      </c>
      <c r="D72" s="182">
        <f>'Init 7'!I105</f>
        <v>0</v>
      </c>
      <c r="E72" s="210">
        <v>0</v>
      </c>
      <c r="F72" s="182">
        <f>'Init 7'!I105</f>
        <v>0</v>
      </c>
      <c r="G72" s="210">
        <v>0</v>
      </c>
      <c r="H72" s="182">
        <f>'Init 7'!J105</f>
        <v>0</v>
      </c>
      <c r="I72" s="210">
        <v>0</v>
      </c>
      <c r="J72" s="182">
        <f>'Init 7'!K105</f>
        <v>0</v>
      </c>
      <c r="K72" s="218">
        <v>0</v>
      </c>
      <c r="L72" s="245">
        <f t="shared" si="3"/>
        <v>0</v>
      </c>
    </row>
    <row r="73" spans="1:12" s="188" customFormat="1" ht="15.75" collapsed="1" thickBot="1" x14ac:dyDescent="0.3">
      <c r="A73" s="234" t="s">
        <v>329</v>
      </c>
      <c r="B73" s="183">
        <f>'Init 8'!G116</f>
        <v>306499.60000000003</v>
      </c>
      <c r="C73" s="207">
        <f>SUM(C74:C80,C82)</f>
        <v>2.0259615384615386</v>
      </c>
      <c r="D73" s="180">
        <f>'Init 8'!H116</f>
        <v>107877.245</v>
      </c>
      <c r="E73" s="207">
        <f>SUM(E74:E80,E82)</f>
        <v>1</v>
      </c>
      <c r="F73" s="180">
        <f>'Init 8'!I116</f>
        <v>109495.40367499998</v>
      </c>
      <c r="G73" s="207">
        <f>SUM(G74:G80,G82)</f>
        <v>1</v>
      </c>
      <c r="H73" s="180">
        <f>'Init 8'!J116</f>
        <v>111137.83473012497</v>
      </c>
      <c r="I73" s="207">
        <f>SUM(I74:I80,I82)</f>
        <v>1</v>
      </c>
      <c r="J73" s="180">
        <f>'Init 8'!K116</f>
        <v>112804.90225107684</v>
      </c>
      <c r="K73" s="215">
        <f>SUM(K74:K80,K82)</f>
        <v>1</v>
      </c>
      <c r="L73" s="244">
        <f t="shared" si="3"/>
        <v>747814.98565620184</v>
      </c>
    </row>
    <row r="74" spans="1:12" ht="15.75" hidden="1" outlineLevel="1" thickBot="1" x14ac:dyDescent="0.3">
      <c r="A74" s="241" t="s">
        <v>110</v>
      </c>
      <c r="B74" s="184">
        <f>'Init 8'!G118</f>
        <v>163225.60000000003</v>
      </c>
      <c r="C74" s="208">
        <f>'Init 8'!G23+'Init 8'!G24+'Init 8'!G22</f>
        <v>1.6846153846153846</v>
      </c>
      <c r="D74" s="181">
        <f>'Init 8'!H118</f>
        <v>101500</v>
      </c>
      <c r="E74" s="208">
        <f>'Init 8'!H23+'Init 8'!H24+'Init 8'!H22</f>
        <v>1</v>
      </c>
      <c r="F74" s="181">
        <f>'Init 8'!I118</f>
        <v>103022.49999999999</v>
      </c>
      <c r="G74" s="208">
        <f>'Init 8'!I23+'Init 8'!I24+'Init 8'!I22</f>
        <v>1</v>
      </c>
      <c r="H74" s="181">
        <f>'Init 8'!J118</f>
        <v>104567.83749999998</v>
      </c>
      <c r="I74" s="208">
        <f>'Init 8'!J23+'Init 8'!J24+'Init 8'!J22</f>
        <v>1</v>
      </c>
      <c r="J74" s="181">
        <f>'Init 8'!K118</f>
        <v>106136.35506249996</v>
      </c>
      <c r="K74" s="208">
        <f>'Init 8'!K23+'Init 8'!K24+'Init 8'!K22</f>
        <v>1</v>
      </c>
      <c r="L74" s="245">
        <f>B74+D74+F74+H74+J74</f>
        <v>578452.29256249999</v>
      </c>
    </row>
    <row r="75" spans="1:12" ht="15.75" hidden="1" outlineLevel="1" thickBot="1" x14ac:dyDescent="0.3">
      <c r="A75" s="241" t="s">
        <v>111</v>
      </c>
      <c r="B75" s="184">
        <f>'Init 8'!G119</f>
        <v>0</v>
      </c>
      <c r="C75" s="208">
        <f>'Init 8'!G25</f>
        <v>0</v>
      </c>
      <c r="D75" s="181">
        <f>'Init 8'!H119</f>
        <v>0</v>
      </c>
      <c r="E75" s="208">
        <f>'Init 8'!H25</f>
        <v>0</v>
      </c>
      <c r="F75" s="181">
        <f>'Init 8'!I119</f>
        <v>0</v>
      </c>
      <c r="G75" s="208">
        <f>'Init 8'!I25</f>
        <v>0</v>
      </c>
      <c r="H75" s="181">
        <f>'Init 8'!J119</f>
        <v>0</v>
      </c>
      <c r="I75" s="208">
        <f>'Init 8'!J25</f>
        <v>0</v>
      </c>
      <c r="J75" s="181">
        <f>'Init 8'!K119</f>
        <v>0</v>
      </c>
      <c r="K75" s="216">
        <f>'Init 8'!K25</f>
        <v>0</v>
      </c>
      <c r="L75" s="245">
        <f t="shared" si="3"/>
        <v>0</v>
      </c>
    </row>
    <row r="76" spans="1:12" ht="15.75" hidden="1" outlineLevel="1" thickBot="1" x14ac:dyDescent="0.3">
      <c r="A76" s="241" t="s">
        <v>112</v>
      </c>
      <c r="B76" s="184">
        <f>'Init 8'!G120</f>
        <v>0</v>
      </c>
      <c r="C76" s="208">
        <f>'Init 8'!G26</f>
        <v>0</v>
      </c>
      <c r="D76" s="181">
        <f>'Init 8'!H120</f>
        <v>0</v>
      </c>
      <c r="E76" s="208">
        <f>'Init 8'!H26</f>
        <v>0</v>
      </c>
      <c r="F76" s="181">
        <f>'Init 8'!I120</f>
        <v>0</v>
      </c>
      <c r="G76" s="208">
        <f>'Init 8'!I26</f>
        <v>0</v>
      </c>
      <c r="H76" s="181">
        <f>'Init 8'!J120</f>
        <v>0</v>
      </c>
      <c r="I76" s="208">
        <f>'Init 8'!J26</f>
        <v>0</v>
      </c>
      <c r="J76" s="181">
        <f>'Init 8'!K120</f>
        <v>0</v>
      </c>
      <c r="K76" s="216">
        <f>'Init 8'!K26</f>
        <v>0</v>
      </c>
      <c r="L76" s="245">
        <f t="shared" si="3"/>
        <v>0</v>
      </c>
    </row>
    <row r="77" spans="1:12" ht="15.75" hidden="1" outlineLevel="1" thickBot="1" x14ac:dyDescent="0.3">
      <c r="A77" s="241" t="s">
        <v>113</v>
      </c>
      <c r="B77" s="184">
        <f>'Init 8'!G121</f>
        <v>0</v>
      </c>
      <c r="C77" s="208">
        <f>'Init 8'!G27+'Init 8'!G28</f>
        <v>0</v>
      </c>
      <c r="D77" s="181">
        <f>'Init 8'!H121</f>
        <v>0</v>
      </c>
      <c r="E77" s="208">
        <f>'Init 8'!H27+'Init 8'!H28</f>
        <v>0</v>
      </c>
      <c r="F77" s="181">
        <f>'Init 8'!I121</f>
        <v>0</v>
      </c>
      <c r="G77" s="208">
        <f>'Init 8'!I27+'Init 8'!I28</f>
        <v>0</v>
      </c>
      <c r="H77" s="181">
        <f>'Init 8'!J121</f>
        <v>0</v>
      </c>
      <c r="I77" s="208">
        <f>'Init 8'!J27+'Init 8'!J28</f>
        <v>0</v>
      </c>
      <c r="J77" s="181">
        <f>'Init 8'!K121</f>
        <v>0</v>
      </c>
      <c r="K77" s="216">
        <f>'Init 8'!K27+'Init 8'!K28</f>
        <v>0</v>
      </c>
      <c r="L77" s="245">
        <f t="shared" si="3"/>
        <v>0</v>
      </c>
    </row>
    <row r="78" spans="1:12" ht="15.75" hidden="1" outlineLevel="1" thickBot="1" x14ac:dyDescent="0.3">
      <c r="A78" s="241" t="s">
        <v>49</v>
      </c>
      <c r="B78" s="184">
        <f>'Init 8'!G122</f>
        <v>122400</v>
      </c>
      <c r="C78" s="208">
        <f>'Init 8'!G29+'Init 8'!G30</f>
        <v>0.34134615384615385</v>
      </c>
      <c r="D78" s="181">
        <f>'Init 8'!H122</f>
        <v>0</v>
      </c>
      <c r="E78" s="208">
        <f>'Init 8'!H29+'Init 8'!H30</f>
        <v>0</v>
      </c>
      <c r="F78" s="181">
        <f>'Init 8'!I122</f>
        <v>0</v>
      </c>
      <c r="G78" s="208">
        <f>'Init 8'!I29+'Init 8'!I30</f>
        <v>0</v>
      </c>
      <c r="H78" s="181">
        <f>'Init 8'!J122</f>
        <v>0</v>
      </c>
      <c r="I78" s="208">
        <f>'Init 8'!J29+'Init 8'!J30</f>
        <v>0</v>
      </c>
      <c r="J78" s="181">
        <f>'Init 8'!K122</f>
        <v>0</v>
      </c>
      <c r="K78" s="216">
        <f>'Init 8'!K29+'Init 8'!K30</f>
        <v>0</v>
      </c>
      <c r="L78" s="245">
        <f t="shared" si="3"/>
        <v>122400</v>
      </c>
    </row>
    <row r="79" spans="1:12" ht="15.75" hidden="1" outlineLevel="1" thickBot="1" x14ac:dyDescent="0.3">
      <c r="A79" s="241" t="s">
        <v>303</v>
      </c>
      <c r="B79" s="184">
        <f>'Init 8'!G123</f>
        <v>20874</v>
      </c>
      <c r="C79" s="208">
        <v>0</v>
      </c>
      <c r="D79" s="181">
        <f>'Init 8'!H123</f>
        <v>6377.244999999999</v>
      </c>
      <c r="E79" s="208">
        <v>0</v>
      </c>
      <c r="F79" s="181">
        <f>'Init 8'!I123</f>
        <v>6472.9036749999987</v>
      </c>
      <c r="G79" s="208">
        <v>0</v>
      </c>
      <c r="H79" s="181">
        <f>'Init 8'!J123</f>
        <v>6569.9972301249982</v>
      </c>
      <c r="I79" s="208">
        <v>0</v>
      </c>
      <c r="J79" s="181">
        <f>'Init 8'!K123</f>
        <v>6668.547188576872</v>
      </c>
      <c r="K79" s="216">
        <v>0</v>
      </c>
      <c r="L79" s="245">
        <f t="shared" si="3"/>
        <v>46962.69309370187</v>
      </c>
    </row>
    <row r="80" spans="1:12" ht="15.75" hidden="1" outlineLevel="1" thickBot="1" x14ac:dyDescent="0.3">
      <c r="A80" s="241" t="s">
        <v>304</v>
      </c>
      <c r="B80" s="184">
        <f>'Init 8'!G124</f>
        <v>0</v>
      </c>
      <c r="C80" s="208">
        <v>0</v>
      </c>
      <c r="D80" s="181">
        <f>'Init 8'!H124</f>
        <v>0</v>
      </c>
      <c r="E80" s="208">
        <v>0</v>
      </c>
      <c r="F80" s="181">
        <f>'Init 8'!I124</f>
        <v>0</v>
      </c>
      <c r="G80" s="208">
        <v>0</v>
      </c>
      <c r="H80" s="181">
        <f>'Init 8'!J124</f>
        <v>0</v>
      </c>
      <c r="I80" s="208">
        <v>0</v>
      </c>
      <c r="J80" s="181">
        <f>'Init 8'!K124</f>
        <v>0</v>
      </c>
      <c r="K80" s="216">
        <v>0</v>
      </c>
      <c r="L80" s="245">
        <f t="shared" si="3"/>
        <v>0</v>
      </c>
    </row>
    <row r="81" spans="1:12" s="188" customFormat="1" ht="15.75" hidden="1" outlineLevel="1" thickBot="1" x14ac:dyDescent="0.3">
      <c r="A81" s="242" t="s">
        <v>53</v>
      </c>
      <c r="B81" s="186">
        <f>'Init 8'!G125</f>
        <v>306499.60000000003</v>
      </c>
      <c r="C81" s="209">
        <f>SUM(C74:C80)</f>
        <v>2.0259615384615386</v>
      </c>
      <c r="D81" s="187">
        <f>'Init 8'!H125</f>
        <v>107877.245</v>
      </c>
      <c r="E81" s="209">
        <f>SUM(E74:E80)</f>
        <v>1</v>
      </c>
      <c r="F81" s="187">
        <f>'Init 8'!I125</f>
        <v>109495.40367499998</v>
      </c>
      <c r="G81" s="209">
        <f>SUM(G74:G80)</f>
        <v>1</v>
      </c>
      <c r="H81" s="187">
        <f>'Init 8'!J125</f>
        <v>111137.83473012497</v>
      </c>
      <c r="I81" s="209">
        <f>SUM(I74:I80)</f>
        <v>1</v>
      </c>
      <c r="J81" s="187">
        <f>'Init 8'!K125</f>
        <v>112804.90225107684</v>
      </c>
      <c r="K81" s="217">
        <f>SUM(K74:K80)</f>
        <v>1</v>
      </c>
      <c r="L81" s="245">
        <f t="shared" si="3"/>
        <v>747814.98565620184</v>
      </c>
    </row>
    <row r="82" spans="1:12" ht="15.75" hidden="1" outlineLevel="1" thickBot="1" x14ac:dyDescent="0.3">
      <c r="A82" s="243" t="s">
        <v>96</v>
      </c>
      <c r="B82" s="185">
        <f>'Init 8'!G126</f>
        <v>0</v>
      </c>
      <c r="C82" s="210">
        <v>0</v>
      </c>
      <c r="D82" s="182">
        <f>'Init 8'!H126</f>
        <v>0</v>
      </c>
      <c r="E82" s="210">
        <v>0</v>
      </c>
      <c r="F82" s="182">
        <f>'Init 8'!I126</f>
        <v>0</v>
      </c>
      <c r="G82" s="210">
        <v>0</v>
      </c>
      <c r="H82" s="182">
        <f>'Init 8'!J126</f>
        <v>0</v>
      </c>
      <c r="I82" s="210">
        <v>0</v>
      </c>
      <c r="J82" s="182">
        <f>'Init 8'!K126</f>
        <v>0</v>
      </c>
      <c r="K82" s="218">
        <v>0</v>
      </c>
      <c r="L82" s="245">
        <f t="shared" ref="L82" si="4">B82+D82+F82+H82+J82</f>
        <v>0</v>
      </c>
    </row>
    <row r="83" spans="1:12" s="188" customFormat="1" ht="15.75" collapsed="1" thickBot="1" x14ac:dyDescent="0.3">
      <c r="A83" s="234" t="s">
        <v>449</v>
      </c>
      <c r="B83" s="183">
        <f>'Init 9'!G89</f>
        <v>684075</v>
      </c>
      <c r="C83" s="212">
        <f>SUM(C84:C90,C92)</f>
        <v>2.8574999999999999</v>
      </c>
      <c r="D83" s="191">
        <f ca="1">'Init 9'!H89</f>
        <v>681687.19500000007</v>
      </c>
      <c r="E83" s="214">
        <f>SUM(E84:E90,E92)</f>
        <v>2.8574999999999999</v>
      </c>
      <c r="F83" s="191">
        <f ca="1">'Init 9'!I89</f>
        <v>691912.50292500004</v>
      </c>
      <c r="G83" s="214">
        <f>SUM(G84:G90,G92)</f>
        <v>2.8574999999999999</v>
      </c>
      <c r="H83" s="191">
        <f ca="1">'Init 9'!J89</f>
        <v>702291.19046887488</v>
      </c>
      <c r="I83" s="214">
        <f>SUM(I84:I90,I92)</f>
        <v>2.8574999999999999</v>
      </c>
      <c r="J83" s="191">
        <f ca="1">'Init 9'!K89</f>
        <v>712825.55832590791</v>
      </c>
      <c r="K83" s="215">
        <f>SUM(K84:K90,K92)</f>
        <v>2.8574999999999999</v>
      </c>
      <c r="L83" s="244">
        <f t="shared" ref="L83:L92" ca="1" si="5">B83+D83+F83+H83+J83</f>
        <v>3472791.4467197824</v>
      </c>
    </row>
    <row r="84" spans="1:12" ht="15.75" hidden="1" outlineLevel="1" thickBot="1" x14ac:dyDescent="0.3">
      <c r="A84" s="241" t="s">
        <v>110</v>
      </c>
      <c r="B84" s="184">
        <f>'Init 9'!G91</f>
        <v>0</v>
      </c>
      <c r="C84" s="208">
        <f>'Init 9'!G21+'Init 9'!G22</f>
        <v>0</v>
      </c>
      <c r="D84" s="181">
        <f>'Init 9'!H91</f>
        <v>0</v>
      </c>
      <c r="E84" s="208">
        <f>'Init 9'!H21+'Init 9'!H22</f>
        <v>0</v>
      </c>
      <c r="F84" s="181">
        <f>'Init 9'!I91</f>
        <v>0</v>
      </c>
      <c r="G84" s="208">
        <f>'Init 9'!I21+'Init 9'!I22</f>
        <v>0</v>
      </c>
      <c r="H84" s="181">
        <f>'Init 9'!J91</f>
        <v>0</v>
      </c>
      <c r="I84" s="208">
        <f>'Init 9'!J21+'Init 9'!J22</f>
        <v>0</v>
      </c>
      <c r="J84" s="181">
        <f>'Init 9'!K91</f>
        <v>0</v>
      </c>
      <c r="K84" s="216">
        <f>'Init 9'!K21+'Init 9'!K22</f>
        <v>0</v>
      </c>
      <c r="L84" s="245">
        <f t="shared" si="5"/>
        <v>0</v>
      </c>
    </row>
    <row r="85" spans="1:12" ht="15.75" hidden="1" outlineLevel="1" thickBot="1" x14ac:dyDescent="0.3">
      <c r="A85" s="241" t="s">
        <v>111</v>
      </c>
      <c r="B85" s="184">
        <f>'Init 9'!G92</f>
        <v>0</v>
      </c>
      <c r="C85" s="208">
        <f>'Init 9'!G23</f>
        <v>0</v>
      </c>
      <c r="D85" s="181">
        <f>'Init 9'!H92</f>
        <v>0</v>
      </c>
      <c r="E85" s="208">
        <f>'Init 9'!H23</f>
        <v>0</v>
      </c>
      <c r="F85" s="181">
        <f>'Init 9'!I92</f>
        <v>0</v>
      </c>
      <c r="G85" s="208">
        <f>'Init 9'!I23</f>
        <v>0</v>
      </c>
      <c r="H85" s="181">
        <f>'Init 9'!J92</f>
        <v>0</v>
      </c>
      <c r="I85" s="208">
        <f>'Init 9'!J23</f>
        <v>0</v>
      </c>
      <c r="J85" s="181">
        <f>'Init 9'!K92</f>
        <v>0</v>
      </c>
      <c r="K85" s="216">
        <f>'Init 9'!K23</f>
        <v>0</v>
      </c>
      <c r="L85" s="245">
        <f t="shared" si="5"/>
        <v>0</v>
      </c>
    </row>
    <row r="86" spans="1:12" ht="15.75" hidden="1" outlineLevel="1" thickBot="1" x14ac:dyDescent="0.3">
      <c r="A86" s="241" t="s">
        <v>112</v>
      </c>
      <c r="B86" s="184">
        <f>'Init 9'!G93</f>
        <v>0</v>
      </c>
      <c r="C86" s="208">
        <f>'Init 9'!G24</f>
        <v>0</v>
      </c>
      <c r="D86" s="181">
        <f>'Init 9'!H93</f>
        <v>0</v>
      </c>
      <c r="E86" s="208">
        <f>'Init 9'!H24</f>
        <v>0</v>
      </c>
      <c r="F86" s="181">
        <f>'Init 9'!I93</f>
        <v>0</v>
      </c>
      <c r="G86" s="208">
        <f>'Init 9'!I24</f>
        <v>0</v>
      </c>
      <c r="H86" s="181">
        <f>'Init 9'!J93</f>
        <v>0</v>
      </c>
      <c r="I86" s="208">
        <f>'Init 9'!J24</f>
        <v>0</v>
      </c>
      <c r="J86" s="181">
        <f>'Init 9'!K93</f>
        <v>0</v>
      </c>
      <c r="K86" s="216">
        <f>'Init 9'!K24</f>
        <v>0</v>
      </c>
      <c r="L86" s="245">
        <f t="shared" si="5"/>
        <v>0</v>
      </c>
    </row>
    <row r="87" spans="1:12" ht="15.75" hidden="1" outlineLevel="1" thickBot="1" x14ac:dyDescent="0.3">
      <c r="A87" s="241" t="s">
        <v>113</v>
      </c>
      <c r="B87" s="184">
        <f>'Init 9'!G94</f>
        <v>0</v>
      </c>
      <c r="C87" s="208">
        <f>'Init 9'!G25+'Init 9'!G26</f>
        <v>0</v>
      </c>
      <c r="D87" s="181">
        <f>'Init 9'!H94</f>
        <v>0</v>
      </c>
      <c r="E87" s="208">
        <f>'Init 9'!H25+'Init 9'!H26</f>
        <v>0</v>
      </c>
      <c r="F87" s="181">
        <f>'Init 9'!I94</f>
        <v>0</v>
      </c>
      <c r="G87" s="208">
        <f>'Init 9'!I25+'Init 9'!I26</f>
        <v>0</v>
      </c>
      <c r="H87" s="181">
        <f>'Init 9'!J94</f>
        <v>0</v>
      </c>
      <c r="I87" s="208">
        <f>'Init 9'!J25+'Init 9'!J26</f>
        <v>0</v>
      </c>
      <c r="J87" s="181">
        <f>'Init 9'!K94</f>
        <v>0</v>
      </c>
      <c r="K87" s="216">
        <f>'Init 9'!K25+'Init 9'!K26</f>
        <v>0</v>
      </c>
      <c r="L87" s="245">
        <f t="shared" si="5"/>
        <v>0</v>
      </c>
    </row>
    <row r="88" spans="1:12" ht="15.75" hidden="1" outlineLevel="1" thickBot="1" x14ac:dyDescent="0.3">
      <c r="A88" s="241" t="s">
        <v>49</v>
      </c>
      <c r="B88" s="184">
        <f>'Init 9'!G95</f>
        <v>653796</v>
      </c>
      <c r="C88" s="208">
        <f>'Init 9'!G27+'Init 9'!G28</f>
        <v>2.8574999999999999</v>
      </c>
      <c r="D88" s="181">
        <f>'Init 9'!H95</f>
        <v>663602.94000000006</v>
      </c>
      <c r="E88" s="208">
        <f>'Init 9'!H27+'Init 9'!H28</f>
        <v>2.8574999999999999</v>
      </c>
      <c r="F88" s="181">
        <f>'Init 9'!I95</f>
        <v>673556.9841</v>
      </c>
      <c r="G88" s="208">
        <f>'Init 9'!I27+'Init 9'!I28</f>
        <v>2.8574999999999999</v>
      </c>
      <c r="H88" s="181">
        <f>'Init 9'!J95</f>
        <v>683660.33886149991</v>
      </c>
      <c r="I88" s="208">
        <f>'Init 9'!J27+'Init 9'!J28</f>
        <v>2.8574999999999999</v>
      </c>
      <c r="J88" s="181">
        <f>'Init 9'!K95</f>
        <v>693915.24394442234</v>
      </c>
      <c r="K88" s="216">
        <f>'Init 9'!K27+'Init 9'!K28</f>
        <v>2.8574999999999999</v>
      </c>
      <c r="L88" s="245">
        <f t="shared" si="5"/>
        <v>3368531.5069059222</v>
      </c>
    </row>
    <row r="89" spans="1:12" ht="15.75" hidden="1" outlineLevel="1" thickBot="1" x14ac:dyDescent="0.3">
      <c r="A89" s="241" t="s">
        <v>303</v>
      </c>
      <c r="B89" s="184">
        <f>'Init 9'!G96</f>
        <v>30279</v>
      </c>
      <c r="C89" s="208">
        <v>0</v>
      </c>
      <c r="D89" s="181">
        <f ca="1">'Init 9'!H96</f>
        <v>18084.254999999997</v>
      </c>
      <c r="E89" s="208">
        <v>0</v>
      </c>
      <c r="F89" s="181">
        <f ca="1">'Init 9'!I96</f>
        <v>18355.518824999996</v>
      </c>
      <c r="G89" s="208">
        <v>0</v>
      </c>
      <c r="H89" s="181">
        <f ca="1">'Init 9'!J96</f>
        <v>18630.851607374992</v>
      </c>
      <c r="I89" s="208">
        <v>0</v>
      </c>
      <c r="J89" s="181">
        <f ca="1">'Init 9'!K96</f>
        <v>18910.314381485616</v>
      </c>
      <c r="K89" s="216">
        <v>0</v>
      </c>
      <c r="L89" s="245">
        <f t="shared" ca="1" si="5"/>
        <v>104259.9398138606</v>
      </c>
    </row>
    <row r="90" spans="1:12" ht="15.75" hidden="1" outlineLevel="1" thickBot="1" x14ac:dyDescent="0.3">
      <c r="A90" s="241" t="s">
        <v>304</v>
      </c>
      <c r="B90" s="184">
        <f>'Init 9'!G97</f>
        <v>0</v>
      </c>
      <c r="C90" s="208">
        <v>0</v>
      </c>
      <c r="D90" s="181">
        <f>'Init 9'!H97</f>
        <v>0</v>
      </c>
      <c r="E90" s="208">
        <v>0</v>
      </c>
      <c r="F90" s="181">
        <f>'Init 9'!I97</f>
        <v>0</v>
      </c>
      <c r="G90" s="208">
        <v>0</v>
      </c>
      <c r="H90" s="181">
        <f>'Init 9'!J97</f>
        <v>0</v>
      </c>
      <c r="I90" s="208">
        <v>0</v>
      </c>
      <c r="J90" s="181">
        <f>'Init 9'!K97</f>
        <v>0</v>
      </c>
      <c r="K90" s="216">
        <v>0</v>
      </c>
      <c r="L90" s="245">
        <f t="shared" si="5"/>
        <v>0</v>
      </c>
    </row>
    <row r="91" spans="1:12" s="188" customFormat="1" ht="15.75" hidden="1" outlineLevel="1" thickBot="1" x14ac:dyDescent="0.3">
      <c r="A91" s="242" t="s">
        <v>53</v>
      </c>
      <c r="B91" s="186">
        <f>'Init 9'!G98</f>
        <v>684075</v>
      </c>
      <c r="C91" s="209">
        <f>SUM(C84:C90)</f>
        <v>2.8574999999999999</v>
      </c>
      <c r="D91" s="187">
        <f ca="1">'Init 9'!H98</f>
        <v>681687.19500000007</v>
      </c>
      <c r="E91" s="209">
        <f>SUM(E84:E90)</f>
        <v>2.8574999999999999</v>
      </c>
      <c r="F91" s="187">
        <f ca="1">'Init 9'!I98</f>
        <v>691912.50292500004</v>
      </c>
      <c r="G91" s="209">
        <f>SUM(G84:G90)</f>
        <v>2.8574999999999999</v>
      </c>
      <c r="H91" s="187">
        <f ca="1">'Init 9'!J98</f>
        <v>702291.19046887488</v>
      </c>
      <c r="I91" s="209">
        <f>SUM(I84:I90)</f>
        <v>2.8574999999999999</v>
      </c>
      <c r="J91" s="187">
        <f ca="1">'Init 9'!K98</f>
        <v>712825.55832590791</v>
      </c>
      <c r="K91" s="217">
        <f>SUM(K84:K90)</f>
        <v>2.8574999999999999</v>
      </c>
      <c r="L91" s="245">
        <f t="shared" ca="1" si="5"/>
        <v>3472791.4467197824</v>
      </c>
    </row>
    <row r="92" spans="1:12" ht="15.75" hidden="1" outlineLevel="1" thickBot="1" x14ac:dyDescent="0.3">
      <c r="A92" s="243" t="s">
        <v>96</v>
      </c>
      <c r="B92" s="184">
        <f>'Init 9'!G99</f>
        <v>0</v>
      </c>
      <c r="C92" s="210">
        <v>0</v>
      </c>
      <c r="D92" s="181">
        <f>'Init 9'!H99</f>
        <v>0</v>
      </c>
      <c r="E92" s="210">
        <v>0</v>
      </c>
      <c r="F92" s="181">
        <f>'Init 9'!I99</f>
        <v>0</v>
      </c>
      <c r="G92" s="210">
        <v>0</v>
      </c>
      <c r="H92" s="181">
        <f>'Init 9'!J99</f>
        <v>0</v>
      </c>
      <c r="I92" s="210">
        <v>0</v>
      </c>
      <c r="J92" s="181">
        <f>'Init 9'!K99</f>
        <v>0</v>
      </c>
      <c r="K92" s="218">
        <v>0</v>
      </c>
      <c r="L92" s="245">
        <f t="shared" si="5"/>
        <v>0</v>
      </c>
    </row>
    <row r="93" spans="1:12" s="188" customFormat="1" ht="15.75" collapsed="1" thickBot="1" x14ac:dyDescent="0.3">
      <c r="A93" s="234" t="s">
        <v>450</v>
      </c>
      <c r="B93" s="183">
        <f>'Init 10'!G89</f>
        <v>611431</v>
      </c>
      <c r="C93" s="212">
        <f>SUM(C94:C100,C102)</f>
        <v>2.54</v>
      </c>
      <c r="D93" s="180">
        <f ca="1">'Init 10'!H89</f>
        <v>607953.53500000003</v>
      </c>
      <c r="E93" s="207">
        <f>SUM(E94:E100,E102)</f>
        <v>2.54</v>
      </c>
      <c r="F93" s="180">
        <f ca="1">'Init 10'!I89</f>
        <v>617072.83802500006</v>
      </c>
      <c r="G93" s="207">
        <f>SUM(G94:G100,G102)</f>
        <v>2.54</v>
      </c>
      <c r="H93" s="180">
        <f ca="1">'Init 10'!J89</f>
        <v>626328.9305953749</v>
      </c>
      <c r="I93" s="207">
        <f>SUM(I94:I100,I102)</f>
        <v>2.54</v>
      </c>
      <c r="J93" s="192">
        <f ca="1">'Init 10'!K89</f>
        <v>635723.86455430544</v>
      </c>
      <c r="K93" s="215">
        <f>SUM(K94:K100,K102)</f>
        <v>2.54</v>
      </c>
      <c r="L93" s="244">
        <f t="shared" ca="1" si="1"/>
        <v>3098510.1681746803</v>
      </c>
    </row>
    <row r="94" spans="1:12" ht="15.75" hidden="1" outlineLevel="1" thickBot="1" x14ac:dyDescent="0.3">
      <c r="A94" s="241" t="s">
        <v>110</v>
      </c>
      <c r="B94" s="184">
        <f>'Init 10'!G91</f>
        <v>0</v>
      </c>
      <c r="C94" s="208">
        <f>'Init 10'!G21+'Init 10'!G22</f>
        <v>0</v>
      </c>
      <c r="D94" s="181">
        <f>'Init 10'!H91</f>
        <v>0</v>
      </c>
      <c r="E94" s="208">
        <f>'Init 10'!H21+'Init 10'!H22</f>
        <v>0</v>
      </c>
      <c r="F94" s="181">
        <f>'Init 10'!I91</f>
        <v>0</v>
      </c>
      <c r="G94" s="208">
        <f>'Init 10'!I21+'Init 10'!I22</f>
        <v>0</v>
      </c>
      <c r="H94" s="181">
        <f>'Init 10'!J91</f>
        <v>0</v>
      </c>
      <c r="I94" s="208">
        <f>'Init 10'!J21+'Init 10'!J22</f>
        <v>0</v>
      </c>
      <c r="J94" s="181">
        <f>'Init 10'!K91</f>
        <v>0</v>
      </c>
      <c r="K94" s="216">
        <f>'Init 10'!K21+'Init 10'!K22</f>
        <v>0</v>
      </c>
      <c r="L94" s="245">
        <f t="shared" si="1"/>
        <v>0</v>
      </c>
    </row>
    <row r="95" spans="1:12" ht="15.75" hidden="1" outlineLevel="1" thickBot="1" x14ac:dyDescent="0.3">
      <c r="A95" s="241" t="s">
        <v>111</v>
      </c>
      <c r="B95" s="184">
        <f>'Init 10'!G92</f>
        <v>0</v>
      </c>
      <c r="C95" s="208">
        <f>'Init 10'!G23</f>
        <v>0</v>
      </c>
      <c r="D95" s="181">
        <f>'Init 10'!H92</f>
        <v>0</v>
      </c>
      <c r="E95" s="208">
        <f>'Init 10'!H23</f>
        <v>0</v>
      </c>
      <c r="F95" s="181">
        <f>'Init 10'!I92</f>
        <v>0</v>
      </c>
      <c r="G95" s="208">
        <f>'Init 10'!I23</f>
        <v>0</v>
      </c>
      <c r="H95" s="181">
        <f>'Init 10'!J92</f>
        <v>0</v>
      </c>
      <c r="I95" s="208">
        <f>'Init 10'!J23</f>
        <v>0</v>
      </c>
      <c r="J95" s="181">
        <f>'Init 10'!K92</f>
        <v>0</v>
      </c>
      <c r="K95" s="216">
        <f>'Init 10'!K23</f>
        <v>0</v>
      </c>
      <c r="L95" s="245">
        <f t="shared" si="1"/>
        <v>0</v>
      </c>
    </row>
    <row r="96" spans="1:12" ht="15.75" hidden="1" outlineLevel="1" thickBot="1" x14ac:dyDescent="0.3">
      <c r="A96" s="241" t="s">
        <v>112</v>
      </c>
      <c r="B96" s="184">
        <f>'Init 10'!G93</f>
        <v>0</v>
      </c>
      <c r="C96" s="208">
        <f>'Init 10'!G24</f>
        <v>0</v>
      </c>
      <c r="D96" s="181">
        <f>'Init 10'!H93</f>
        <v>0</v>
      </c>
      <c r="E96" s="208">
        <f>'Init 10'!H24</f>
        <v>0</v>
      </c>
      <c r="F96" s="181">
        <f>'Init 10'!I93</f>
        <v>0</v>
      </c>
      <c r="G96" s="208">
        <f>'Init 10'!I24</f>
        <v>0</v>
      </c>
      <c r="H96" s="181">
        <f>'Init 10'!J93</f>
        <v>0</v>
      </c>
      <c r="I96" s="208">
        <f>'Init 10'!J24</f>
        <v>0</v>
      </c>
      <c r="J96" s="181">
        <f>'Init 10'!K93</f>
        <v>0</v>
      </c>
      <c r="K96" s="216">
        <f>'Init 10'!K24</f>
        <v>0</v>
      </c>
      <c r="L96" s="245">
        <f t="shared" si="1"/>
        <v>0</v>
      </c>
    </row>
    <row r="97" spans="1:12" ht="15.75" hidden="1" outlineLevel="1" thickBot="1" x14ac:dyDescent="0.3">
      <c r="A97" s="241" t="s">
        <v>113</v>
      </c>
      <c r="B97" s="184">
        <f>'Init 10'!G94</f>
        <v>0</v>
      </c>
      <c r="C97" s="208">
        <f>'Init 10'!G25+'Init 10'!G26</f>
        <v>0</v>
      </c>
      <c r="D97" s="181">
        <f>'Init 10'!H94</f>
        <v>0</v>
      </c>
      <c r="E97" s="208">
        <f>'Init 10'!H25+'Init 10'!H26</f>
        <v>0</v>
      </c>
      <c r="F97" s="181">
        <f>'Init 10'!I94</f>
        <v>0</v>
      </c>
      <c r="G97" s="208">
        <f>'Init 10'!I25+'Init 10'!I26</f>
        <v>0</v>
      </c>
      <c r="H97" s="181">
        <f>'Init 10'!J94</f>
        <v>0</v>
      </c>
      <c r="I97" s="208">
        <f>'Init 10'!J25+'Init 10'!J26</f>
        <v>0</v>
      </c>
      <c r="J97" s="181">
        <f>'Init 10'!K94</f>
        <v>0</v>
      </c>
      <c r="K97" s="216">
        <f>'Init 10'!K25+'Init 10'!K26</f>
        <v>0</v>
      </c>
      <c r="L97" s="245">
        <f t="shared" si="1"/>
        <v>0</v>
      </c>
    </row>
    <row r="98" spans="1:12" ht="15.75" hidden="1" outlineLevel="1" thickBot="1" x14ac:dyDescent="0.3">
      <c r="A98" s="241" t="s">
        <v>49</v>
      </c>
      <c r="B98" s="184">
        <f>'Init 10'!G95</f>
        <v>581152</v>
      </c>
      <c r="C98" s="208">
        <f>'Init 10'!G27+'Init 10'!G28</f>
        <v>2.54</v>
      </c>
      <c r="D98" s="181">
        <f>'Init 10'!H95</f>
        <v>589869.28</v>
      </c>
      <c r="E98" s="208">
        <f>'Init 10'!H27+'Init 10'!H28</f>
        <v>2.54</v>
      </c>
      <c r="F98" s="181">
        <f>'Init 10'!I95</f>
        <v>598717.31920000003</v>
      </c>
      <c r="G98" s="208">
        <f>'Init 10'!I27+'Init 10'!I28</f>
        <v>2.54</v>
      </c>
      <c r="H98" s="181">
        <f>'Init 10'!J95</f>
        <v>607698.07898799994</v>
      </c>
      <c r="I98" s="208">
        <f>'Init 10'!J27+'Init 10'!J28</f>
        <v>2.54</v>
      </c>
      <c r="J98" s="181">
        <f>'Init 10'!K95</f>
        <v>616813.55017281987</v>
      </c>
      <c r="K98" s="216">
        <f>'Init 10'!K27+'Init 10'!K28</f>
        <v>2.54</v>
      </c>
      <c r="L98" s="245">
        <f t="shared" si="1"/>
        <v>2994250.2283608196</v>
      </c>
    </row>
    <row r="99" spans="1:12" ht="15.75" hidden="1" outlineLevel="1" thickBot="1" x14ac:dyDescent="0.3">
      <c r="A99" s="241" t="s">
        <v>303</v>
      </c>
      <c r="B99" s="184">
        <f>'Init 10'!G96</f>
        <v>30279</v>
      </c>
      <c r="C99" s="208">
        <v>0</v>
      </c>
      <c r="D99" s="181">
        <f ca="1">'Init 10'!H96</f>
        <v>18084.254999999997</v>
      </c>
      <c r="E99" s="208">
        <v>0</v>
      </c>
      <c r="F99" s="181">
        <f ca="1">'Init 10'!I96</f>
        <v>18355.518824999996</v>
      </c>
      <c r="G99" s="208">
        <v>0</v>
      </c>
      <c r="H99" s="181">
        <f ca="1">'Init 10'!J96</f>
        <v>18630.851607374992</v>
      </c>
      <c r="I99" s="208">
        <v>0</v>
      </c>
      <c r="J99" s="181">
        <f ca="1">'Init 10'!K96</f>
        <v>18910.314381485616</v>
      </c>
      <c r="K99" s="216">
        <v>0</v>
      </c>
      <c r="L99" s="245">
        <f t="shared" ca="1" si="1"/>
        <v>104259.9398138606</v>
      </c>
    </row>
    <row r="100" spans="1:12" ht="15.75" hidden="1" outlineLevel="1" thickBot="1" x14ac:dyDescent="0.3">
      <c r="A100" s="241" t="s">
        <v>304</v>
      </c>
      <c r="B100" s="184">
        <f>'Init 10'!G97</f>
        <v>0</v>
      </c>
      <c r="C100" s="208">
        <v>0</v>
      </c>
      <c r="D100" s="181">
        <f>'Init 10'!H97</f>
        <v>0</v>
      </c>
      <c r="E100" s="208">
        <v>0</v>
      </c>
      <c r="F100" s="181">
        <f>'Init 10'!I97</f>
        <v>0</v>
      </c>
      <c r="G100" s="208">
        <v>0</v>
      </c>
      <c r="H100" s="181">
        <f>'Init 10'!J97</f>
        <v>0</v>
      </c>
      <c r="I100" s="208">
        <v>0</v>
      </c>
      <c r="J100" s="181">
        <f>'Init 10'!K97</f>
        <v>0</v>
      </c>
      <c r="K100" s="216">
        <v>0</v>
      </c>
      <c r="L100" s="245">
        <f t="shared" si="1"/>
        <v>0</v>
      </c>
    </row>
    <row r="101" spans="1:12" s="188" customFormat="1" ht="15.75" hidden="1" outlineLevel="1" thickBot="1" x14ac:dyDescent="0.3">
      <c r="A101" s="242" t="s">
        <v>53</v>
      </c>
      <c r="B101" s="186">
        <f>'Init 10'!G98</f>
        <v>611431</v>
      </c>
      <c r="C101" s="209">
        <f>SUM(C94:C100)</f>
        <v>2.54</v>
      </c>
      <c r="D101" s="187">
        <f ca="1">'Init 10'!H98</f>
        <v>607953.53500000003</v>
      </c>
      <c r="E101" s="209">
        <f>SUM(E94:E100)</f>
        <v>2.54</v>
      </c>
      <c r="F101" s="187">
        <f ca="1">'Init 10'!I98</f>
        <v>617072.83802500006</v>
      </c>
      <c r="G101" s="209">
        <f>SUM(G94:G100)</f>
        <v>2.54</v>
      </c>
      <c r="H101" s="187">
        <f ca="1">'Init 10'!J98</f>
        <v>626328.9305953749</v>
      </c>
      <c r="I101" s="209">
        <f>SUM(I94:I100)</f>
        <v>2.54</v>
      </c>
      <c r="J101" s="187">
        <f ca="1">'Init 10'!K98</f>
        <v>635723.86455430544</v>
      </c>
      <c r="K101" s="217">
        <f>SUM(K94:K100)</f>
        <v>2.54</v>
      </c>
      <c r="L101" s="245">
        <f t="shared" ca="1" si="1"/>
        <v>3098510.1681746803</v>
      </c>
    </row>
    <row r="102" spans="1:12" ht="15.75" hidden="1" outlineLevel="1" thickBot="1" x14ac:dyDescent="0.3">
      <c r="A102" s="243" t="s">
        <v>96</v>
      </c>
      <c r="B102" s="184">
        <f>'Init 10'!G99</f>
        <v>0</v>
      </c>
      <c r="C102" s="210">
        <v>0</v>
      </c>
      <c r="D102" s="181">
        <f>'Init 10'!H99</f>
        <v>0</v>
      </c>
      <c r="E102" s="210">
        <v>0</v>
      </c>
      <c r="F102" s="181">
        <f>'Init 10'!I99</f>
        <v>0</v>
      </c>
      <c r="G102" s="210">
        <v>0</v>
      </c>
      <c r="H102" s="181">
        <f>'Init 10'!J99</f>
        <v>0</v>
      </c>
      <c r="I102" s="210">
        <v>0</v>
      </c>
      <c r="J102" s="181">
        <f>'Init 10'!K99</f>
        <v>0</v>
      </c>
      <c r="K102" s="218">
        <v>0</v>
      </c>
      <c r="L102" s="245">
        <f t="shared" si="1"/>
        <v>0</v>
      </c>
    </row>
    <row r="103" spans="1:12" s="188" customFormat="1" ht="15.75" collapsed="1" thickBot="1" x14ac:dyDescent="0.3">
      <c r="A103" s="234" t="s">
        <v>330</v>
      </c>
      <c r="B103" s="183">
        <f>'Init 11'!G91</f>
        <v>47757</v>
      </c>
      <c r="C103" s="207">
        <f>SUM(C104:C110,C112)</f>
        <v>0.33413461538461542</v>
      </c>
      <c r="D103" s="180">
        <f ca="1">'Init 11'!H91</f>
        <v>0</v>
      </c>
      <c r="E103" s="207">
        <f>SUM(E104:E110,E112)</f>
        <v>0</v>
      </c>
      <c r="F103" s="180">
        <f ca="1">'Init 11'!I91</f>
        <v>0</v>
      </c>
      <c r="G103" s="207">
        <f>SUM(G104:G110,G112)</f>
        <v>0</v>
      </c>
      <c r="H103" s="180">
        <f ca="1">'Init 11'!J91</f>
        <v>0</v>
      </c>
      <c r="I103" s="207">
        <f>SUM(I104:I110,I112)</f>
        <v>0</v>
      </c>
      <c r="J103" s="180">
        <f ca="1">'Init 11'!K91</f>
        <v>0</v>
      </c>
      <c r="K103" s="215">
        <f>SUM(K104:K110,K112)</f>
        <v>0</v>
      </c>
      <c r="L103" s="244">
        <f t="shared" ref="L103:L142" ca="1" si="6">B103+D103+F103+H103+J103</f>
        <v>47757</v>
      </c>
    </row>
    <row r="104" spans="1:12" ht="15.75" hidden="1" outlineLevel="1" thickBot="1" x14ac:dyDescent="0.3">
      <c r="A104" s="241" t="s">
        <v>110</v>
      </c>
      <c r="B104" s="184">
        <f>'Init 11'!G93</f>
        <v>15762</v>
      </c>
      <c r="C104" s="208">
        <f>'Init 11'!G21+'Init 11'!G22</f>
        <v>0.17067307692307693</v>
      </c>
      <c r="D104" s="181">
        <f>'Init 11'!H93</f>
        <v>0</v>
      </c>
      <c r="E104" s="208">
        <f>'Init 11'!H21+'Init 11'!H22</f>
        <v>0</v>
      </c>
      <c r="F104" s="181">
        <f>'Init 11'!I93</f>
        <v>0</v>
      </c>
      <c r="G104" s="208">
        <f>'Init 11'!I21+'Init 11'!I22</f>
        <v>0</v>
      </c>
      <c r="H104" s="181">
        <f>'Init 11'!J93</f>
        <v>0</v>
      </c>
      <c r="I104" s="208">
        <f>'Init 11'!J21+'Init 11'!J22</f>
        <v>0</v>
      </c>
      <c r="J104" s="181">
        <f>'Init 11'!K93</f>
        <v>0</v>
      </c>
      <c r="K104" s="216">
        <f>'Init 11'!K21+'Init 11'!K22</f>
        <v>0</v>
      </c>
      <c r="L104" s="245">
        <f t="shared" si="6"/>
        <v>15762</v>
      </c>
    </row>
    <row r="105" spans="1:12" ht="15.75" hidden="1" outlineLevel="1" thickBot="1" x14ac:dyDescent="0.3">
      <c r="A105" s="241" t="s">
        <v>111</v>
      </c>
      <c r="B105" s="184">
        <f>'Init 11'!G94</f>
        <v>0</v>
      </c>
      <c r="C105" s="208">
        <f>'Init 11'!G23</f>
        <v>0</v>
      </c>
      <c r="D105" s="181">
        <f>'Init 11'!H94</f>
        <v>0</v>
      </c>
      <c r="E105" s="208">
        <f>'Init 11'!H23</f>
        <v>0</v>
      </c>
      <c r="F105" s="181">
        <f>'Init 11'!I94</f>
        <v>0</v>
      </c>
      <c r="G105" s="208">
        <f>'Init 11'!I23</f>
        <v>0</v>
      </c>
      <c r="H105" s="181">
        <f>'Init 11'!J94</f>
        <v>0</v>
      </c>
      <c r="I105" s="208">
        <f>'Init 11'!J23</f>
        <v>0</v>
      </c>
      <c r="J105" s="181">
        <f>'Init 11'!K94</f>
        <v>0</v>
      </c>
      <c r="K105" s="216">
        <f>'Init 11'!K23</f>
        <v>0</v>
      </c>
      <c r="L105" s="245">
        <f t="shared" si="6"/>
        <v>0</v>
      </c>
    </row>
    <row r="106" spans="1:12" ht="15.75" hidden="1" outlineLevel="1" thickBot="1" x14ac:dyDescent="0.3">
      <c r="A106" s="241" t="s">
        <v>112</v>
      </c>
      <c r="B106" s="184">
        <f>'Init 11'!G95</f>
        <v>10395</v>
      </c>
      <c r="C106" s="208">
        <f>'Init 11'!G24</f>
        <v>0.10576923076923077</v>
      </c>
      <c r="D106" s="181">
        <f>'Init 11'!H95</f>
        <v>0</v>
      </c>
      <c r="E106" s="208">
        <f>'Init 11'!H24</f>
        <v>0</v>
      </c>
      <c r="F106" s="181">
        <f>'Init 11'!I95</f>
        <v>0</v>
      </c>
      <c r="G106" s="208">
        <f>'Init 11'!I24</f>
        <v>0</v>
      </c>
      <c r="H106" s="181">
        <f>'Init 11'!J95</f>
        <v>0</v>
      </c>
      <c r="I106" s="208">
        <f>'Init 11'!J24</f>
        <v>0</v>
      </c>
      <c r="J106" s="181">
        <f>'Init 11'!K95</f>
        <v>0</v>
      </c>
      <c r="K106" s="216">
        <f>'Init 11'!K24</f>
        <v>0</v>
      </c>
      <c r="L106" s="245">
        <f t="shared" si="6"/>
        <v>10395</v>
      </c>
    </row>
    <row r="107" spans="1:12" ht="15.75" hidden="1" outlineLevel="1" thickBot="1" x14ac:dyDescent="0.3">
      <c r="A107" s="241" t="s">
        <v>113</v>
      </c>
      <c r="B107" s="184">
        <f>'Init 11'!G96</f>
        <v>0</v>
      </c>
      <c r="C107" s="208">
        <f>'Init 11'!G25+'Init 11'!G26</f>
        <v>0</v>
      </c>
      <c r="D107" s="181">
        <f>'Init 11'!H96</f>
        <v>0</v>
      </c>
      <c r="E107" s="208">
        <f>'Init 11'!H25+'Init 11'!H26</f>
        <v>0</v>
      </c>
      <c r="F107" s="181">
        <f>'Init 11'!I96</f>
        <v>0</v>
      </c>
      <c r="G107" s="208">
        <f>'Init 11'!I25+'Init 11'!I26</f>
        <v>0</v>
      </c>
      <c r="H107" s="181">
        <f>'Init 11'!J96</f>
        <v>0</v>
      </c>
      <c r="I107" s="208">
        <f>'Init 11'!J25+'Init 11'!J26</f>
        <v>0</v>
      </c>
      <c r="J107" s="181">
        <f>'Init 11'!K96</f>
        <v>0</v>
      </c>
      <c r="K107" s="216">
        <f>'Init 11'!K25+'Init 11'!K26</f>
        <v>0</v>
      </c>
      <c r="L107" s="245">
        <f t="shared" si="6"/>
        <v>0</v>
      </c>
    </row>
    <row r="108" spans="1:12" ht="15.75" hidden="1" outlineLevel="1" thickBot="1" x14ac:dyDescent="0.3">
      <c r="A108" s="241" t="s">
        <v>49</v>
      </c>
      <c r="B108" s="184">
        <f>'Init 11'!G97</f>
        <v>21600</v>
      </c>
      <c r="C108" s="208">
        <f>'Init 11'!G27+'Init 11'!G28</f>
        <v>5.7692307692307696E-2</v>
      </c>
      <c r="D108" s="181">
        <f>'Init 11'!H97</f>
        <v>0</v>
      </c>
      <c r="E108" s="208">
        <f>'Init 11'!H27+'Init 11'!H28</f>
        <v>0</v>
      </c>
      <c r="F108" s="181">
        <f>'Init 11'!I97</f>
        <v>0</v>
      </c>
      <c r="G108" s="208">
        <f>'Init 11'!I27+'Init 11'!I28</f>
        <v>0</v>
      </c>
      <c r="H108" s="181">
        <f>'Init 11'!J97</f>
        <v>0</v>
      </c>
      <c r="I108" s="208">
        <f>'Init 11'!J27+'Init 11'!J28</f>
        <v>0</v>
      </c>
      <c r="J108" s="181">
        <f>'Init 11'!K97</f>
        <v>0</v>
      </c>
      <c r="K108" s="216">
        <f>'Init 11'!K27+'Init 11'!K28</f>
        <v>0</v>
      </c>
      <c r="L108" s="245">
        <f t="shared" si="6"/>
        <v>21600</v>
      </c>
    </row>
    <row r="109" spans="1:12" ht="15.75" hidden="1" outlineLevel="1" thickBot="1" x14ac:dyDescent="0.3">
      <c r="A109" s="241" t="s">
        <v>303</v>
      </c>
      <c r="B109" s="184">
        <f>'Init 11'!G98</f>
        <v>0</v>
      </c>
      <c r="C109" s="208">
        <v>0</v>
      </c>
      <c r="D109" s="181">
        <f ca="1">'Init 11'!H98</f>
        <v>0</v>
      </c>
      <c r="E109" s="208">
        <v>0</v>
      </c>
      <c r="F109" s="181">
        <f ca="1">'Init 11'!I98</f>
        <v>0</v>
      </c>
      <c r="G109" s="208">
        <v>0</v>
      </c>
      <c r="H109" s="181">
        <f ca="1">'Init 11'!J98</f>
        <v>0</v>
      </c>
      <c r="I109" s="208">
        <v>0</v>
      </c>
      <c r="J109" s="181">
        <f ca="1">'Init 11'!K98</f>
        <v>0</v>
      </c>
      <c r="K109" s="216">
        <v>0</v>
      </c>
      <c r="L109" s="245">
        <f t="shared" ca="1" si="6"/>
        <v>0</v>
      </c>
    </row>
    <row r="110" spans="1:12" ht="15.75" hidden="1" outlineLevel="1" thickBot="1" x14ac:dyDescent="0.3">
      <c r="A110" s="241" t="s">
        <v>304</v>
      </c>
      <c r="B110" s="184">
        <f>'Init 11'!G99</f>
        <v>0</v>
      </c>
      <c r="C110" s="208">
        <v>0</v>
      </c>
      <c r="D110" s="181">
        <f>'Init 11'!H99</f>
        <v>0</v>
      </c>
      <c r="E110" s="208">
        <v>0</v>
      </c>
      <c r="F110" s="181">
        <f>'Init 11'!I99</f>
        <v>0</v>
      </c>
      <c r="G110" s="208">
        <v>0</v>
      </c>
      <c r="H110" s="181">
        <f>'Init 11'!J99</f>
        <v>0</v>
      </c>
      <c r="I110" s="208">
        <v>0</v>
      </c>
      <c r="J110" s="181">
        <f>'Init 11'!K99</f>
        <v>0</v>
      </c>
      <c r="K110" s="216">
        <v>0</v>
      </c>
      <c r="L110" s="245">
        <f t="shared" si="6"/>
        <v>0</v>
      </c>
    </row>
    <row r="111" spans="1:12" s="188" customFormat="1" ht="15.75" hidden="1" outlineLevel="1" thickBot="1" x14ac:dyDescent="0.3">
      <c r="A111" s="242" t="s">
        <v>53</v>
      </c>
      <c r="B111" s="186">
        <f>'Init 11'!G100</f>
        <v>47757</v>
      </c>
      <c r="C111" s="209">
        <f>SUM(C104:C110)</f>
        <v>0.33413461538461542</v>
      </c>
      <c r="D111" s="187">
        <f ca="1">'Init 11'!H100</f>
        <v>0</v>
      </c>
      <c r="E111" s="209">
        <f>SUM(E104:E110)</f>
        <v>0</v>
      </c>
      <c r="F111" s="187">
        <f ca="1">'Init 11'!I100</f>
        <v>0</v>
      </c>
      <c r="G111" s="209">
        <f>SUM(G104:G110)</f>
        <v>0</v>
      </c>
      <c r="H111" s="187">
        <f ca="1">'Init 11'!J100</f>
        <v>0</v>
      </c>
      <c r="I111" s="209">
        <f>SUM(I104:I110)</f>
        <v>0</v>
      </c>
      <c r="J111" s="187">
        <f ca="1">'Init 11'!K100</f>
        <v>0</v>
      </c>
      <c r="K111" s="217">
        <f>SUM(K104:K110)</f>
        <v>0</v>
      </c>
      <c r="L111" s="245">
        <f t="shared" ca="1" si="6"/>
        <v>47757</v>
      </c>
    </row>
    <row r="112" spans="1:12" ht="15.75" hidden="1" outlineLevel="1" thickBot="1" x14ac:dyDescent="0.3">
      <c r="A112" s="243" t="s">
        <v>96</v>
      </c>
      <c r="B112" s="184">
        <f>'Init 11'!G101</f>
        <v>0</v>
      </c>
      <c r="C112" s="210">
        <v>0</v>
      </c>
      <c r="D112" s="182">
        <f>'Init 11'!H101</f>
        <v>0</v>
      </c>
      <c r="E112" s="210">
        <v>0</v>
      </c>
      <c r="F112" s="182">
        <f>'Init 11'!I101</f>
        <v>0</v>
      </c>
      <c r="G112" s="210">
        <v>0</v>
      </c>
      <c r="H112" s="182">
        <f>'Init 11'!J101</f>
        <v>0</v>
      </c>
      <c r="I112" s="210">
        <v>0</v>
      </c>
      <c r="J112" s="182">
        <f>'Init 11'!K101</f>
        <v>0</v>
      </c>
      <c r="K112" s="218">
        <v>0</v>
      </c>
      <c r="L112" s="245">
        <f t="shared" si="6"/>
        <v>0</v>
      </c>
    </row>
    <row r="113" spans="1:12" s="188" customFormat="1" ht="15.75" collapsed="1" thickBot="1" x14ac:dyDescent="0.3">
      <c r="A113" s="234" t="s">
        <v>331</v>
      </c>
      <c r="B113" s="183">
        <f>'Init 12'!G82</f>
        <v>39120</v>
      </c>
      <c r="C113" s="207">
        <f>SUM(C114:C120,C122)</f>
        <v>0.40384615384615385</v>
      </c>
      <c r="D113" s="180">
        <f ca="1">'Init 12'!H82</f>
        <v>0</v>
      </c>
      <c r="E113" s="207">
        <f>SUM(E114:E120,E122)</f>
        <v>0</v>
      </c>
      <c r="F113" s="180">
        <f ca="1">'Init 12'!I82</f>
        <v>0</v>
      </c>
      <c r="G113" s="207">
        <f>SUM(G114:G120,G122)</f>
        <v>0</v>
      </c>
      <c r="H113" s="180">
        <f ca="1">'Init 12'!J82</f>
        <v>0</v>
      </c>
      <c r="I113" s="207">
        <f>SUM(I114:I120,I122)</f>
        <v>0</v>
      </c>
      <c r="J113" s="180">
        <f ca="1">'Init 12'!K82</f>
        <v>0</v>
      </c>
      <c r="K113" s="215">
        <f>SUM(K114:K120,K122)</f>
        <v>0</v>
      </c>
      <c r="L113" s="244">
        <f t="shared" ca="1" si="6"/>
        <v>39120</v>
      </c>
    </row>
    <row r="114" spans="1:12" ht="15.75" hidden="1" outlineLevel="1" thickBot="1" x14ac:dyDescent="0.3">
      <c r="A114" s="241" t="s">
        <v>110</v>
      </c>
      <c r="B114" s="184">
        <f>'Init 12'!G84</f>
        <v>8880</v>
      </c>
      <c r="C114" s="208">
        <f>'Init 12'!G21+'Init 12'!G22</f>
        <v>9.6153846153846159E-2</v>
      </c>
      <c r="D114" s="181">
        <f>'Init 12'!H84</f>
        <v>0</v>
      </c>
      <c r="E114" s="208">
        <f>'Init 12'!H21+'Init 12'!H22</f>
        <v>0</v>
      </c>
      <c r="F114" s="181">
        <f>'Init 12'!I84</f>
        <v>0</v>
      </c>
      <c r="G114" s="208">
        <f>'Init 12'!I21+'Init 12'!I22</f>
        <v>0</v>
      </c>
      <c r="H114" s="181">
        <f>'Init 12'!J84</f>
        <v>0</v>
      </c>
      <c r="I114" s="208">
        <f>'Init 12'!J21+'Init 12'!J22</f>
        <v>0</v>
      </c>
      <c r="J114" s="181">
        <f>'Init 12'!K84</f>
        <v>0</v>
      </c>
      <c r="K114" s="216">
        <f>'Init 12'!K21+'Init 12'!K22</f>
        <v>0</v>
      </c>
      <c r="L114" s="245">
        <f t="shared" si="6"/>
        <v>8880</v>
      </c>
    </row>
    <row r="115" spans="1:12" ht="15.75" hidden="1" outlineLevel="1" thickBot="1" x14ac:dyDescent="0.3">
      <c r="A115" s="241" t="s">
        <v>111</v>
      </c>
      <c r="B115" s="184">
        <f>'Init 12'!G85</f>
        <v>0</v>
      </c>
      <c r="C115" s="208">
        <f>'Init 12'!G23</f>
        <v>0</v>
      </c>
      <c r="D115" s="181">
        <f>'Init 12'!H85</f>
        <v>0</v>
      </c>
      <c r="E115" s="208">
        <f>'Init 12'!H23</f>
        <v>0</v>
      </c>
      <c r="F115" s="181">
        <f>'Init 12'!I85</f>
        <v>0</v>
      </c>
      <c r="G115" s="208">
        <f>'Init 12'!I23</f>
        <v>0</v>
      </c>
      <c r="H115" s="181">
        <f>'Init 12'!J85</f>
        <v>0</v>
      </c>
      <c r="I115" s="208">
        <f>'Init 12'!J23</f>
        <v>0</v>
      </c>
      <c r="J115" s="181">
        <f>'Init 12'!K85</f>
        <v>0</v>
      </c>
      <c r="K115" s="216">
        <f>'Init 12'!K23</f>
        <v>0</v>
      </c>
      <c r="L115" s="245">
        <f t="shared" si="6"/>
        <v>0</v>
      </c>
    </row>
    <row r="116" spans="1:12" ht="15.75" hidden="1" outlineLevel="1" thickBot="1" x14ac:dyDescent="0.3">
      <c r="A116" s="241" t="s">
        <v>112</v>
      </c>
      <c r="B116" s="184">
        <f>'Init 12'!G86</f>
        <v>30240</v>
      </c>
      <c r="C116" s="208">
        <f>'Init 12'!G24</f>
        <v>0.30769230769230771</v>
      </c>
      <c r="D116" s="181">
        <f>'Init 12'!H86</f>
        <v>0</v>
      </c>
      <c r="E116" s="208">
        <f>'Init 12'!H24</f>
        <v>0</v>
      </c>
      <c r="F116" s="181">
        <f>'Init 12'!I86</f>
        <v>0</v>
      </c>
      <c r="G116" s="208">
        <f>'Init 12'!I24</f>
        <v>0</v>
      </c>
      <c r="H116" s="181">
        <f>'Init 12'!J86</f>
        <v>0</v>
      </c>
      <c r="I116" s="208">
        <f>'Init 12'!J24</f>
        <v>0</v>
      </c>
      <c r="J116" s="181">
        <f>'Init 12'!K86</f>
        <v>0</v>
      </c>
      <c r="K116" s="216">
        <f>'Init 12'!K24</f>
        <v>0</v>
      </c>
      <c r="L116" s="245">
        <f t="shared" si="6"/>
        <v>30240</v>
      </c>
    </row>
    <row r="117" spans="1:12" ht="15.75" hidden="1" outlineLevel="1" thickBot="1" x14ac:dyDescent="0.3">
      <c r="A117" s="241" t="s">
        <v>113</v>
      </c>
      <c r="B117" s="184">
        <f>'Init 12'!G87</f>
        <v>0</v>
      </c>
      <c r="C117" s="208">
        <f>'Init 12'!G25+'Init 12'!G26</f>
        <v>0</v>
      </c>
      <c r="D117" s="181">
        <f>'Init 12'!H87</f>
        <v>0</v>
      </c>
      <c r="E117" s="208">
        <f>'Init 12'!H25+'Init 12'!H26</f>
        <v>0</v>
      </c>
      <c r="F117" s="181">
        <f>'Init 12'!I87</f>
        <v>0</v>
      </c>
      <c r="G117" s="208">
        <f>'Init 12'!I25+'Init 12'!I26</f>
        <v>0</v>
      </c>
      <c r="H117" s="181">
        <f>'Init 12'!J87</f>
        <v>0</v>
      </c>
      <c r="I117" s="208">
        <f>'Init 12'!J25+'Init 12'!J26</f>
        <v>0</v>
      </c>
      <c r="J117" s="181">
        <f>'Init 12'!K87</f>
        <v>0</v>
      </c>
      <c r="K117" s="216">
        <f>'Init 12'!K25+'Init 12'!K26</f>
        <v>0</v>
      </c>
      <c r="L117" s="245">
        <f t="shared" si="6"/>
        <v>0</v>
      </c>
    </row>
    <row r="118" spans="1:12" ht="15.75" hidden="1" outlineLevel="1" thickBot="1" x14ac:dyDescent="0.3">
      <c r="A118" s="241" t="s">
        <v>49</v>
      </c>
      <c r="B118" s="184">
        <f>'Init 12'!G88</f>
        <v>0</v>
      </c>
      <c r="C118" s="208">
        <f>'Init 12'!G27+'Init 12'!G28</f>
        <v>0</v>
      </c>
      <c r="D118" s="181">
        <f>'Init 12'!H88</f>
        <v>0</v>
      </c>
      <c r="E118" s="208">
        <f>'Init 12'!H27+'Init 12'!H28</f>
        <v>0</v>
      </c>
      <c r="F118" s="181">
        <f>'Init 12'!I88</f>
        <v>0</v>
      </c>
      <c r="G118" s="208">
        <f>'Init 12'!I27+'Init 12'!I28</f>
        <v>0</v>
      </c>
      <c r="H118" s="181">
        <f>'Init 12'!J88</f>
        <v>0</v>
      </c>
      <c r="I118" s="208">
        <f>'Init 12'!J27+'Init 12'!J28</f>
        <v>0</v>
      </c>
      <c r="J118" s="181">
        <f>'Init 12'!K88</f>
        <v>0</v>
      </c>
      <c r="K118" s="216">
        <f>'Init 12'!K27+'Init 12'!K28</f>
        <v>0</v>
      </c>
      <c r="L118" s="245">
        <f t="shared" si="6"/>
        <v>0</v>
      </c>
    </row>
    <row r="119" spans="1:12" ht="15.75" hidden="1" outlineLevel="1" thickBot="1" x14ac:dyDescent="0.3">
      <c r="A119" s="241" t="s">
        <v>303</v>
      </c>
      <c r="B119" s="184">
        <f>'Init 12'!G89</f>
        <v>0</v>
      </c>
      <c r="C119" s="208">
        <v>0</v>
      </c>
      <c r="D119" s="181">
        <f>'Init 12'!H89</f>
        <v>0</v>
      </c>
      <c r="E119" s="208">
        <v>0</v>
      </c>
      <c r="F119" s="181">
        <f>'Init 12'!I89</f>
        <v>0</v>
      </c>
      <c r="G119" s="208">
        <v>0</v>
      </c>
      <c r="H119" s="181">
        <f>'Init 12'!J89</f>
        <v>0</v>
      </c>
      <c r="I119" s="208">
        <v>0</v>
      </c>
      <c r="J119" s="181">
        <f>'Init 12'!K89</f>
        <v>0</v>
      </c>
      <c r="K119" s="216">
        <v>0</v>
      </c>
      <c r="L119" s="245">
        <f t="shared" si="6"/>
        <v>0</v>
      </c>
    </row>
    <row r="120" spans="1:12" ht="15.75" hidden="1" outlineLevel="1" thickBot="1" x14ac:dyDescent="0.3">
      <c r="A120" s="241" t="s">
        <v>304</v>
      </c>
      <c r="B120" s="184">
        <f>'Init 12'!G90</f>
        <v>0</v>
      </c>
      <c r="C120" s="208">
        <v>0</v>
      </c>
      <c r="D120" s="181">
        <f>'Init 12'!H90</f>
        <v>0</v>
      </c>
      <c r="E120" s="208">
        <v>0</v>
      </c>
      <c r="F120" s="181">
        <f>'Init 12'!I90</f>
        <v>0</v>
      </c>
      <c r="G120" s="208">
        <v>0</v>
      </c>
      <c r="H120" s="181">
        <f>'Init 12'!J90</f>
        <v>0</v>
      </c>
      <c r="I120" s="208">
        <v>0</v>
      </c>
      <c r="J120" s="181">
        <f>'Init 12'!K90</f>
        <v>0</v>
      </c>
      <c r="K120" s="216">
        <v>0</v>
      </c>
      <c r="L120" s="245">
        <f t="shared" si="6"/>
        <v>0</v>
      </c>
    </row>
    <row r="121" spans="1:12" ht="15.75" hidden="1" outlineLevel="1" thickBot="1" x14ac:dyDescent="0.3">
      <c r="A121" s="242" t="s">
        <v>53</v>
      </c>
      <c r="B121" s="184">
        <f>'Init 12'!G91</f>
        <v>39120</v>
      </c>
      <c r="C121" s="208">
        <f>SUM(C114:C120)</f>
        <v>0.40384615384615385</v>
      </c>
      <c r="D121" s="181">
        <f>'Init 12'!H91</f>
        <v>0</v>
      </c>
      <c r="E121" s="208">
        <f>SUM(E114:E120)</f>
        <v>0</v>
      </c>
      <c r="F121" s="181">
        <f>'Init 12'!I91</f>
        <v>0</v>
      </c>
      <c r="G121" s="208">
        <f>SUM(G114:G120)</f>
        <v>0</v>
      </c>
      <c r="H121" s="181">
        <f>'Init 12'!J91</f>
        <v>0</v>
      </c>
      <c r="I121" s="208">
        <f>SUM(I114:I120)</f>
        <v>0</v>
      </c>
      <c r="J121" s="181">
        <f>'Init 12'!K91</f>
        <v>0</v>
      </c>
      <c r="K121" s="216">
        <f>SUM(K114:K120)</f>
        <v>0</v>
      </c>
      <c r="L121" s="245">
        <f t="shared" si="6"/>
        <v>39120</v>
      </c>
    </row>
    <row r="122" spans="1:12" ht="15.75" hidden="1" outlineLevel="1" thickBot="1" x14ac:dyDescent="0.3">
      <c r="A122" s="243" t="s">
        <v>96</v>
      </c>
      <c r="B122" s="185">
        <f>'Init 12'!G92</f>
        <v>0</v>
      </c>
      <c r="C122" s="210">
        <v>0</v>
      </c>
      <c r="D122" s="182">
        <f>'Init 12'!H92</f>
        <v>0</v>
      </c>
      <c r="E122" s="210">
        <v>0</v>
      </c>
      <c r="F122" s="182">
        <f>'Init 12'!I92</f>
        <v>0</v>
      </c>
      <c r="G122" s="210">
        <v>0</v>
      </c>
      <c r="H122" s="182">
        <f>'Init 12'!J92</f>
        <v>0</v>
      </c>
      <c r="I122" s="210">
        <v>0</v>
      </c>
      <c r="J122" s="182">
        <f>'Init 12'!K92</f>
        <v>0</v>
      </c>
      <c r="K122" s="218">
        <v>0</v>
      </c>
      <c r="L122" s="245">
        <f t="shared" si="6"/>
        <v>0</v>
      </c>
    </row>
    <row r="123" spans="1:12" s="188" customFormat="1" ht="15.75" collapsed="1" thickBot="1" x14ac:dyDescent="0.3">
      <c r="A123" s="234" t="s">
        <v>332</v>
      </c>
      <c r="B123" s="183">
        <f>'Init 13'!G113</f>
        <v>70800.899999999994</v>
      </c>
      <c r="C123" s="207">
        <f>SUM(C124:C130,C132)</f>
        <v>0.70048076923076907</v>
      </c>
      <c r="D123" s="180">
        <f ca="1">'Init 13'!H113</f>
        <v>14407.721999999996</v>
      </c>
      <c r="E123" s="207">
        <f>SUM(E124:E130,E132)</f>
        <v>0.17451923076923079</v>
      </c>
      <c r="F123" s="180">
        <f ca="1">'Init 13'!I113</f>
        <v>0</v>
      </c>
      <c r="G123" s="207">
        <f>SUM(G124:G130,G132)</f>
        <v>0</v>
      </c>
      <c r="H123" s="180">
        <f ca="1">'Init 13'!J113</f>
        <v>0</v>
      </c>
      <c r="I123" s="207">
        <f>SUM(I124:I130,I132)</f>
        <v>0</v>
      </c>
      <c r="J123" s="180">
        <f ca="1">'Init 13'!K113</f>
        <v>0</v>
      </c>
      <c r="K123" s="215">
        <f>SUM(K124:K130,K132)</f>
        <v>0</v>
      </c>
      <c r="L123" s="244">
        <f t="shared" ca="1" si="6"/>
        <v>85208.621999999988</v>
      </c>
    </row>
    <row r="124" spans="1:12" ht="15.75" hidden="1" outlineLevel="1" thickBot="1" x14ac:dyDescent="0.3">
      <c r="A124" s="241" t="s">
        <v>110</v>
      </c>
      <c r="B124" s="184">
        <f>'Init 13'!G115</f>
        <v>9546</v>
      </c>
      <c r="C124" s="208">
        <f>'Init 13'!G21+'Init 13'!G22</f>
        <v>0.10336538461538461</v>
      </c>
      <c r="D124" s="181">
        <f>'Init 13'!H115</f>
        <v>2027.97</v>
      </c>
      <c r="E124" s="208">
        <f>'Init 13'!H21+'Init 13'!H22</f>
        <v>2.1634615384615384E-2</v>
      </c>
      <c r="F124" s="181">
        <f>'Init 13'!I115</f>
        <v>0</v>
      </c>
      <c r="G124" s="208">
        <f>'Init 13'!I21+'Init 13'!I22</f>
        <v>0</v>
      </c>
      <c r="H124" s="181">
        <f>'Init 13'!J115</f>
        <v>0</v>
      </c>
      <c r="I124" s="208">
        <f>'Init 13'!J21+'Init 13'!J22</f>
        <v>0</v>
      </c>
      <c r="J124" s="181">
        <f>'Init 13'!K115</f>
        <v>0</v>
      </c>
      <c r="K124" s="216">
        <f>'Init 13'!K21+'Init 13'!K22</f>
        <v>0</v>
      </c>
      <c r="L124" s="245">
        <f t="shared" si="6"/>
        <v>11573.97</v>
      </c>
    </row>
    <row r="125" spans="1:12" ht="15.75" hidden="1" outlineLevel="1" thickBot="1" x14ac:dyDescent="0.3">
      <c r="A125" s="241" t="s">
        <v>111</v>
      </c>
      <c r="B125" s="184">
        <f>'Init 13'!G116</f>
        <v>37740</v>
      </c>
      <c r="C125" s="208">
        <f>'Init 13'!G23</f>
        <v>0.35144230769230766</v>
      </c>
      <c r="D125" s="181">
        <f>'Init 13'!H116</f>
        <v>4596.7319999999991</v>
      </c>
      <c r="E125" s="208">
        <f>'Init 13'!H23</f>
        <v>7.3557692307692296E-2</v>
      </c>
      <c r="F125" s="181">
        <f>'Init 13'!I116</f>
        <v>0</v>
      </c>
      <c r="G125" s="208">
        <f>'Init 13'!I23</f>
        <v>0</v>
      </c>
      <c r="H125" s="181">
        <f>'Init 13'!J116</f>
        <v>0</v>
      </c>
      <c r="I125" s="208">
        <f>'Init 13'!J23</f>
        <v>0</v>
      </c>
      <c r="J125" s="181">
        <f>'Init 13'!K116</f>
        <v>0</v>
      </c>
      <c r="K125" s="216">
        <f>'Init 13'!K23</f>
        <v>0</v>
      </c>
      <c r="L125" s="245">
        <f t="shared" si="6"/>
        <v>42336.731999999996</v>
      </c>
    </row>
    <row r="126" spans="1:12" ht="15.75" hidden="1" outlineLevel="1" thickBot="1" x14ac:dyDescent="0.3">
      <c r="A126" s="241" t="s">
        <v>112</v>
      </c>
      <c r="B126" s="184">
        <f>'Init 13'!G117</f>
        <v>13702.5</v>
      </c>
      <c r="C126" s="208">
        <f>'Init 13'!G24</f>
        <v>0.13942307692307693</v>
      </c>
      <c r="D126" s="181">
        <f>'Init 13'!H117</f>
        <v>5755.0499999999993</v>
      </c>
      <c r="E126" s="208">
        <f>'Init 13'!H24</f>
        <v>5.7692307692307696E-2</v>
      </c>
      <c r="F126" s="181">
        <f>'Init 13'!I117</f>
        <v>0</v>
      </c>
      <c r="G126" s="208">
        <f>'Init 13'!I24</f>
        <v>0</v>
      </c>
      <c r="H126" s="181">
        <f>'Init 13'!J117</f>
        <v>0</v>
      </c>
      <c r="I126" s="208">
        <f>'Init 13'!J24</f>
        <v>0</v>
      </c>
      <c r="J126" s="181">
        <f>'Init 13'!K117</f>
        <v>0</v>
      </c>
      <c r="K126" s="216">
        <f>'Init 13'!K24</f>
        <v>0</v>
      </c>
      <c r="L126" s="245">
        <f t="shared" si="6"/>
        <v>19457.55</v>
      </c>
    </row>
    <row r="127" spans="1:12" ht="15.75" hidden="1" outlineLevel="1" thickBot="1" x14ac:dyDescent="0.3">
      <c r="A127" s="241" t="s">
        <v>113</v>
      </c>
      <c r="B127" s="184">
        <f>'Init 13'!G118</f>
        <v>9812.4</v>
      </c>
      <c r="C127" s="208">
        <f>'Init 13'!G25+'Init 13'!G26</f>
        <v>0.10625000000000001</v>
      </c>
      <c r="D127" s="181">
        <f>'Init 13'!H118</f>
        <v>2027.97</v>
      </c>
      <c r="E127" s="208">
        <f>'Init 13'!H25+'Init 13'!H26</f>
        <v>2.1634615384615384E-2</v>
      </c>
      <c r="F127" s="181">
        <f>'Init 13'!I118</f>
        <v>0</v>
      </c>
      <c r="G127" s="208">
        <f>'Init 13'!I25+'Init 13'!I26</f>
        <v>0</v>
      </c>
      <c r="H127" s="181">
        <f>'Init 13'!J118</f>
        <v>0</v>
      </c>
      <c r="I127" s="208">
        <f>'Init 13'!J25+'Init 13'!J26</f>
        <v>0</v>
      </c>
      <c r="J127" s="181">
        <f>'Init 13'!K118</f>
        <v>0</v>
      </c>
      <c r="K127" s="216">
        <f>'Init 13'!K25+'Init 13'!K26</f>
        <v>0</v>
      </c>
      <c r="L127" s="245">
        <f t="shared" si="6"/>
        <v>11840.369999999999</v>
      </c>
    </row>
    <row r="128" spans="1:12" ht="15.75" hidden="1" outlineLevel="1" thickBot="1" x14ac:dyDescent="0.3">
      <c r="A128" s="241" t="s">
        <v>49</v>
      </c>
      <c r="B128" s="184">
        <f>'Init 13'!G119</f>
        <v>0</v>
      </c>
      <c r="C128" s="208">
        <f>'Init 13'!G27+'Init 13'!G28</f>
        <v>0</v>
      </c>
      <c r="D128" s="181">
        <f>'Init 13'!H119</f>
        <v>0</v>
      </c>
      <c r="E128" s="208">
        <f>'Init 13'!H27+'Init 13'!H28</f>
        <v>0</v>
      </c>
      <c r="F128" s="181">
        <f>'Init 13'!I119</f>
        <v>0</v>
      </c>
      <c r="G128" s="208">
        <f>'Init 13'!I27+'Init 13'!I28</f>
        <v>0</v>
      </c>
      <c r="H128" s="181">
        <f>'Init 13'!J119</f>
        <v>0</v>
      </c>
      <c r="I128" s="208">
        <f>'Init 13'!J27+'Init 13'!J28</f>
        <v>0</v>
      </c>
      <c r="J128" s="181">
        <f>'Init 13'!K119</f>
        <v>0</v>
      </c>
      <c r="K128" s="216">
        <f>'Init 13'!K27+'Init 13'!K28</f>
        <v>0</v>
      </c>
      <c r="L128" s="245">
        <f t="shared" si="6"/>
        <v>0</v>
      </c>
    </row>
    <row r="129" spans="1:12" ht="15.75" hidden="1" outlineLevel="1" thickBot="1" x14ac:dyDescent="0.3">
      <c r="A129" s="241" t="s">
        <v>303</v>
      </c>
      <c r="B129" s="184">
        <f>'Init 13'!G120</f>
        <v>0</v>
      </c>
      <c r="C129" s="208">
        <v>0</v>
      </c>
      <c r="D129" s="181">
        <f ca="1">'Init 13'!H120</f>
        <v>0</v>
      </c>
      <c r="E129" s="208">
        <v>0</v>
      </c>
      <c r="F129" s="181">
        <f ca="1">'Init 13'!I120</f>
        <v>0</v>
      </c>
      <c r="G129" s="208">
        <v>0</v>
      </c>
      <c r="H129" s="181">
        <f ca="1">'Init 13'!J120</f>
        <v>0</v>
      </c>
      <c r="I129" s="208">
        <v>0</v>
      </c>
      <c r="J129" s="181">
        <f ca="1">'Init 13'!K120</f>
        <v>0</v>
      </c>
      <c r="K129" s="216">
        <v>0</v>
      </c>
      <c r="L129" s="245">
        <f t="shared" ca="1" si="6"/>
        <v>0</v>
      </c>
    </row>
    <row r="130" spans="1:12" ht="15.75" hidden="1" outlineLevel="1" thickBot="1" x14ac:dyDescent="0.3">
      <c r="A130" s="241" t="s">
        <v>304</v>
      </c>
      <c r="B130" s="184">
        <f>'Init 13'!G121</f>
        <v>0</v>
      </c>
      <c r="C130" s="208">
        <v>0</v>
      </c>
      <c r="D130" s="181">
        <f>'Init 13'!H121</f>
        <v>0</v>
      </c>
      <c r="E130" s="208">
        <v>0</v>
      </c>
      <c r="F130" s="181">
        <f>'Init 13'!I121</f>
        <v>0</v>
      </c>
      <c r="G130" s="208">
        <v>0</v>
      </c>
      <c r="H130" s="181">
        <f>'Init 13'!J121</f>
        <v>0</v>
      </c>
      <c r="I130" s="208">
        <v>0</v>
      </c>
      <c r="J130" s="181">
        <f>'Init 13'!K121</f>
        <v>0</v>
      </c>
      <c r="K130" s="216">
        <v>0</v>
      </c>
      <c r="L130" s="245">
        <f t="shared" si="6"/>
        <v>0</v>
      </c>
    </row>
    <row r="131" spans="1:12" s="188" customFormat="1" ht="15.75" hidden="1" outlineLevel="1" thickBot="1" x14ac:dyDescent="0.3">
      <c r="A131" s="242" t="s">
        <v>53</v>
      </c>
      <c r="B131" s="186">
        <f>'Init 13'!G122</f>
        <v>70800.899999999994</v>
      </c>
      <c r="C131" s="209">
        <f>SUM(C124:C130)</f>
        <v>0.70048076923076907</v>
      </c>
      <c r="D131" s="187">
        <f ca="1">'Init 13'!H122</f>
        <v>14407.721999999998</v>
      </c>
      <c r="E131" s="209">
        <f>SUM(E124:E130)</f>
        <v>0.17451923076923079</v>
      </c>
      <c r="F131" s="187">
        <f ca="1">'Init 13'!I122</f>
        <v>0</v>
      </c>
      <c r="G131" s="209">
        <f>SUM(G124:G130)</f>
        <v>0</v>
      </c>
      <c r="H131" s="187">
        <f ca="1">'Init 13'!J122</f>
        <v>0</v>
      </c>
      <c r="I131" s="209">
        <f>SUM(I124:I130)</f>
        <v>0</v>
      </c>
      <c r="J131" s="187">
        <f ca="1">'Init 13'!K122</f>
        <v>0</v>
      </c>
      <c r="K131" s="217">
        <f>SUM(K124:K130)</f>
        <v>0</v>
      </c>
      <c r="L131" s="245">
        <f t="shared" ca="1" si="6"/>
        <v>85208.621999999988</v>
      </c>
    </row>
    <row r="132" spans="1:12" ht="15.75" hidden="1" outlineLevel="1" thickBot="1" x14ac:dyDescent="0.3">
      <c r="A132" s="243" t="s">
        <v>96</v>
      </c>
      <c r="B132" s="185">
        <f>'Init 13'!G123</f>
        <v>0</v>
      </c>
      <c r="C132" s="210">
        <v>0</v>
      </c>
      <c r="D132" s="182">
        <f>'Init 13'!H123</f>
        <v>0</v>
      </c>
      <c r="E132" s="210">
        <v>0</v>
      </c>
      <c r="F132" s="182">
        <f>'Init 13'!I123</f>
        <v>0</v>
      </c>
      <c r="G132" s="210">
        <v>0</v>
      </c>
      <c r="H132" s="182">
        <f>'Init 13'!J123</f>
        <v>0</v>
      </c>
      <c r="I132" s="210">
        <v>0</v>
      </c>
      <c r="J132" s="182">
        <f>'Init 13'!K123</f>
        <v>0</v>
      </c>
      <c r="K132" s="218">
        <v>0</v>
      </c>
      <c r="L132" s="245">
        <f t="shared" si="6"/>
        <v>0</v>
      </c>
    </row>
    <row r="133" spans="1:12" s="188" customFormat="1" ht="15.75" collapsed="1" thickBot="1" x14ac:dyDescent="0.3">
      <c r="A133" s="263" t="s">
        <v>457</v>
      </c>
      <c r="B133" s="183">
        <f>'Init 14'!G130</f>
        <v>102318</v>
      </c>
      <c r="C133" s="207">
        <f>SUM(C134:C140,C142)</f>
        <v>0.61153846153846159</v>
      </c>
      <c r="D133" s="180">
        <f ca="1">'Init 14'!H130</f>
        <v>0</v>
      </c>
      <c r="E133" s="207">
        <f>SUM(E134:E140,E142)</f>
        <v>0</v>
      </c>
      <c r="F133" s="180">
        <f ca="1">'Init 14'!I130</f>
        <v>0</v>
      </c>
      <c r="G133" s="207">
        <f>SUM(G134:G140,G142)</f>
        <v>0</v>
      </c>
      <c r="H133" s="180">
        <f ca="1">'Init 14'!J130</f>
        <v>0</v>
      </c>
      <c r="I133" s="207">
        <f>SUM(I134:I140,I142)</f>
        <v>0</v>
      </c>
      <c r="J133" s="180">
        <f ca="1">'Init 14'!K130</f>
        <v>0</v>
      </c>
      <c r="K133" s="215">
        <f>SUM(K134:K140,K142)</f>
        <v>0</v>
      </c>
      <c r="L133" s="244">
        <f t="shared" ca="1" si="6"/>
        <v>102318</v>
      </c>
    </row>
    <row r="134" spans="1:12" ht="15.75" hidden="1" outlineLevel="1" thickBot="1" x14ac:dyDescent="0.3">
      <c r="A134" s="241" t="s">
        <v>110</v>
      </c>
      <c r="B134" s="184">
        <f>'Init 14'!G132</f>
        <v>21534</v>
      </c>
      <c r="C134" s="208">
        <f>'Init 14'!G21+'Init 14'!G22</f>
        <v>0.23317307692307693</v>
      </c>
      <c r="D134" s="181">
        <f>'Init 14'!H132</f>
        <v>0</v>
      </c>
      <c r="E134" s="208">
        <f>'Init 14'!H21+'Init 14'!H22</f>
        <v>0</v>
      </c>
      <c r="F134" s="181">
        <f>'Init 14'!I132</f>
        <v>0</v>
      </c>
      <c r="G134" s="208">
        <f>'Init 14'!I21+'Init 14'!I22</f>
        <v>0</v>
      </c>
      <c r="H134" s="181">
        <f>'Init 14'!J132</f>
        <v>0</v>
      </c>
      <c r="I134" s="208">
        <f>'Init 14'!J21+'Init 14'!J22</f>
        <v>0</v>
      </c>
      <c r="J134" s="181">
        <f>'Init 14'!K132</f>
        <v>0</v>
      </c>
      <c r="K134" s="216">
        <f>'Init 14'!K21+'Init 14'!K22</f>
        <v>0</v>
      </c>
      <c r="L134" s="245">
        <f t="shared" si="6"/>
        <v>21534</v>
      </c>
    </row>
    <row r="135" spans="1:12" ht="15.75" hidden="1" outlineLevel="1" thickBot="1" x14ac:dyDescent="0.3">
      <c r="A135" s="241" t="s">
        <v>111</v>
      </c>
      <c r="B135" s="184">
        <f>'Init 14'!G133</f>
        <v>11321.999999999998</v>
      </c>
      <c r="C135" s="208">
        <f>'Init 14'!G23</f>
        <v>0.12259615384615384</v>
      </c>
      <c r="D135" s="181">
        <f>'Init 14'!H133</f>
        <v>0</v>
      </c>
      <c r="E135" s="208">
        <f>'Init 14'!H23</f>
        <v>0</v>
      </c>
      <c r="F135" s="181">
        <f>'Init 14'!I133</f>
        <v>0</v>
      </c>
      <c r="G135" s="208">
        <f>'Init 14'!I23</f>
        <v>0</v>
      </c>
      <c r="H135" s="181">
        <f>'Init 14'!J133</f>
        <v>0</v>
      </c>
      <c r="I135" s="208">
        <f>'Init 14'!J23</f>
        <v>0</v>
      </c>
      <c r="J135" s="181">
        <f>'Init 14'!K133</f>
        <v>0</v>
      </c>
      <c r="K135" s="216">
        <f>'Init 14'!K23</f>
        <v>0</v>
      </c>
      <c r="L135" s="245">
        <f t="shared" si="6"/>
        <v>11321.999999999998</v>
      </c>
    </row>
    <row r="136" spans="1:12" ht="15.75" hidden="1" outlineLevel="1" thickBot="1" x14ac:dyDescent="0.3">
      <c r="A136" s="241" t="s">
        <v>112</v>
      </c>
      <c r="B136" s="184">
        <f>'Init 14'!G134</f>
        <v>3316.5</v>
      </c>
      <c r="C136" s="208">
        <f>'Init 14'!G24</f>
        <v>3.4615384615384617E-2</v>
      </c>
      <c r="D136" s="181">
        <f>'Init 14'!H134</f>
        <v>0</v>
      </c>
      <c r="E136" s="208">
        <f>'Init 14'!H24</f>
        <v>0</v>
      </c>
      <c r="F136" s="181">
        <f>'Init 14'!I134</f>
        <v>0</v>
      </c>
      <c r="G136" s="208">
        <f>'Init 14'!I24</f>
        <v>0</v>
      </c>
      <c r="H136" s="181">
        <f>'Init 14'!J134</f>
        <v>0</v>
      </c>
      <c r="I136" s="208">
        <f>'Init 14'!J24</f>
        <v>0</v>
      </c>
      <c r="J136" s="181">
        <f>'Init 14'!K134</f>
        <v>0</v>
      </c>
      <c r="K136" s="216">
        <f>'Init 14'!K24</f>
        <v>0</v>
      </c>
      <c r="L136" s="245">
        <f t="shared" si="6"/>
        <v>3316.5</v>
      </c>
    </row>
    <row r="137" spans="1:12" ht="15.75" hidden="1" outlineLevel="1" thickBot="1" x14ac:dyDescent="0.3">
      <c r="A137" s="241" t="s">
        <v>113</v>
      </c>
      <c r="B137" s="184">
        <f>'Init 14'!G135</f>
        <v>5328</v>
      </c>
      <c r="C137" s="208">
        <f>'Init 14'!G25+'Init 14'!G26</f>
        <v>7.2115384615384609E-2</v>
      </c>
      <c r="D137" s="181">
        <f>'Init 14'!H135</f>
        <v>0</v>
      </c>
      <c r="E137" s="208">
        <f>'Init 14'!H25+'Init 14'!H26</f>
        <v>0</v>
      </c>
      <c r="F137" s="181">
        <f>'Init 14'!I135</f>
        <v>0</v>
      </c>
      <c r="G137" s="208">
        <f>'Init 14'!I25+'Init 14'!I26</f>
        <v>0</v>
      </c>
      <c r="H137" s="181">
        <f>'Init 14'!J135</f>
        <v>0</v>
      </c>
      <c r="I137" s="208">
        <f>'Init 14'!J25+'Init 14'!J26</f>
        <v>0</v>
      </c>
      <c r="J137" s="181">
        <f>'Init 14'!K135</f>
        <v>0</v>
      </c>
      <c r="K137" s="216">
        <f>'Init 14'!K25+'Init 14'!K26</f>
        <v>0</v>
      </c>
      <c r="L137" s="245">
        <f t="shared" si="6"/>
        <v>5328</v>
      </c>
    </row>
    <row r="138" spans="1:12" ht="15.75" hidden="1" outlineLevel="1" thickBot="1" x14ac:dyDescent="0.3">
      <c r="A138" s="241" t="s">
        <v>49</v>
      </c>
      <c r="B138" s="184">
        <f>'Init 14'!G136</f>
        <v>60817.5</v>
      </c>
      <c r="C138" s="208">
        <f>'Init 14'!G27+'Init 14'!G28</f>
        <v>0.14903846153846154</v>
      </c>
      <c r="D138" s="181">
        <f>'Init 14'!H136</f>
        <v>0</v>
      </c>
      <c r="E138" s="208">
        <f>'Init 14'!H27+'Init 14'!H28</f>
        <v>0</v>
      </c>
      <c r="F138" s="181">
        <f>'Init 14'!I136</f>
        <v>0</v>
      </c>
      <c r="G138" s="208">
        <f>'Init 14'!I27+'Init 14'!I28</f>
        <v>0</v>
      </c>
      <c r="H138" s="181">
        <f>'Init 14'!J136</f>
        <v>0</v>
      </c>
      <c r="I138" s="208">
        <f>'Init 14'!J27+'Init 14'!J28</f>
        <v>0</v>
      </c>
      <c r="J138" s="181">
        <f>'Init 14'!K136</f>
        <v>0</v>
      </c>
      <c r="K138" s="216">
        <f>'Init 14'!K27+'Init 14'!K28</f>
        <v>0</v>
      </c>
      <c r="L138" s="245">
        <f t="shared" si="6"/>
        <v>60817.5</v>
      </c>
    </row>
    <row r="139" spans="1:12" ht="15.75" hidden="1" outlineLevel="1" thickBot="1" x14ac:dyDescent="0.3">
      <c r="A139" s="241" t="s">
        <v>303</v>
      </c>
      <c r="B139" s="184">
        <f>'Init 14'!G137</f>
        <v>0</v>
      </c>
      <c r="C139" s="208">
        <v>0</v>
      </c>
      <c r="D139" s="181">
        <f ca="1">'Init 14'!H137</f>
        <v>0</v>
      </c>
      <c r="E139" s="208">
        <v>0</v>
      </c>
      <c r="F139" s="181">
        <f ca="1">'Init 14'!I137</f>
        <v>0</v>
      </c>
      <c r="G139" s="208">
        <v>0</v>
      </c>
      <c r="H139" s="181">
        <f ca="1">'Init 14'!J137</f>
        <v>0</v>
      </c>
      <c r="I139" s="208">
        <v>0</v>
      </c>
      <c r="J139" s="181">
        <f ca="1">'Init 14'!K137</f>
        <v>0</v>
      </c>
      <c r="K139" s="216">
        <v>0</v>
      </c>
      <c r="L139" s="245">
        <f t="shared" ca="1" si="6"/>
        <v>0</v>
      </c>
    </row>
    <row r="140" spans="1:12" ht="15.75" hidden="1" outlineLevel="1" thickBot="1" x14ac:dyDescent="0.3">
      <c r="A140" s="241" t="s">
        <v>304</v>
      </c>
      <c r="B140" s="184">
        <f>'Init 14'!G138</f>
        <v>0</v>
      </c>
      <c r="C140" s="208">
        <v>0</v>
      </c>
      <c r="D140" s="181">
        <f>'Init 14'!H138</f>
        <v>0</v>
      </c>
      <c r="E140" s="208">
        <v>0</v>
      </c>
      <c r="F140" s="181">
        <f>'Init 14'!I138</f>
        <v>0</v>
      </c>
      <c r="G140" s="208">
        <v>0</v>
      </c>
      <c r="H140" s="181">
        <f>'Init 14'!J138</f>
        <v>0</v>
      </c>
      <c r="I140" s="208">
        <v>0</v>
      </c>
      <c r="J140" s="181">
        <f>'Init 14'!K138</f>
        <v>0</v>
      </c>
      <c r="K140" s="216">
        <v>0</v>
      </c>
      <c r="L140" s="245">
        <f t="shared" si="6"/>
        <v>0</v>
      </c>
    </row>
    <row r="141" spans="1:12" s="188" customFormat="1" ht="15.75" hidden="1" outlineLevel="1" thickBot="1" x14ac:dyDescent="0.3">
      <c r="A141" s="242" t="s">
        <v>53</v>
      </c>
      <c r="B141" s="186">
        <f>'Init 14'!G139</f>
        <v>102318</v>
      </c>
      <c r="C141" s="209">
        <f>SUM(C134:C140)</f>
        <v>0.61153846153846159</v>
      </c>
      <c r="D141" s="187">
        <f ca="1">'Init 14'!H139</f>
        <v>0</v>
      </c>
      <c r="E141" s="209">
        <f>SUM(E134:E140)</f>
        <v>0</v>
      </c>
      <c r="F141" s="187">
        <f ca="1">'Init 14'!I139</f>
        <v>0</v>
      </c>
      <c r="G141" s="209">
        <f>SUM(G134:G140)</f>
        <v>0</v>
      </c>
      <c r="H141" s="187">
        <f ca="1">'Init 14'!J139</f>
        <v>0</v>
      </c>
      <c r="I141" s="209">
        <f>SUM(I134:I140)</f>
        <v>0</v>
      </c>
      <c r="J141" s="187">
        <f ca="1">'Init 14'!K139</f>
        <v>0</v>
      </c>
      <c r="K141" s="217">
        <f>SUM(K134:K140)</f>
        <v>0</v>
      </c>
      <c r="L141" s="245">
        <f t="shared" ca="1" si="6"/>
        <v>102318</v>
      </c>
    </row>
    <row r="142" spans="1:12" ht="15.75" hidden="1" outlineLevel="1" thickBot="1" x14ac:dyDescent="0.3">
      <c r="A142" s="243" t="s">
        <v>96</v>
      </c>
      <c r="B142" s="185">
        <f>'Init 14'!G140</f>
        <v>0</v>
      </c>
      <c r="C142" s="210">
        <v>0</v>
      </c>
      <c r="D142" s="182">
        <f>'Init 14'!H140</f>
        <v>0</v>
      </c>
      <c r="E142" s="210">
        <v>0</v>
      </c>
      <c r="F142" s="182">
        <f>'Init 14'!I140</f>
        <v>0</v>
      </c>
      <c r="G142" s="210">
        <v>0</v>
      </c>
      <c r="H142" s="182">
        <f>'Init 14'!J140</f>
        <v>0</v>
      </c>
      <c r="I142" s="210">
        <v>0</v>
      </c>
      <c r="J142" s="182">
        <f>'Init 14'!K140</f>
        <v>0</v>
      </c>
      <c r="K142" s="218">
        <v>0</v>
      </c>
      <c r="L142" s="245">
        <f t="shared" si="6"/>
        <v>0</v>
      </c>
    </row>
    <row r="143" spans="1:12" s="188" customFormat="1" ht="15.75" collapsed="1" thickBot="1" x14ac:dyDescent="0.3">
      <c r="A143" s="234" t="s">
        <v>454</v>
      </c>
      <c r="B143" s="183">
        <f>'Init 15'!G93</f>
        <v>1822898</v>
      </c>
      <c r="C143" s="207">
        <f>SUM(C144:C150,C152)</f>
        <v>13.5</v>
      </c>
      <c r="D143" s="180">
        <f>'Init 15'!H93</f>
        <v>2769317.78</v>
      </c>
      <c r="E143" s="207">
        <f>SUM(E144:E150,E152)</f>
        <v>24</v>
      </c>
      <c r="F143" s="180">
        <f>'Init 15'!I93</f>
        <v>2787362.0001999997</v>
      </c>
      <c r="G143" s="207">
        <f>SUM(G144:G150,G152)</f>
        <v>24</v>
      </c>
      <c r="H143" s="180">
        <f>'Init 15'!J93</f>
        <v>2848142.4302029992</v>
      </c>
      <c r="I143" s="207">
        <f>SUM(I144:I150,I152)</f>
        <v>24</v>
      </c>
      <c r="J143" s="180">
        <f>'Init 15'!K93</f>
        <v>2909504.5666560442</v>
      </c>
      <c r="K143" s="207">
        <f>SUM(K144:K150,K152)</f>
        <v>24</v>
      </c>
      <c r="L143" s="244">
        <f t="shared" ref="L143:L152" si="7">B143+D143+F143+H143+J143</f>
        <v>13137224.777059043</v>
      </c>
    </row>
    <row r="144" spans="1:12" hidden="1" outlineLevel="1" x14ac:dyDescent="0.25">
      <c r="A144" s="235" t="s">
        <v>110</v>
      </c>
      <c r="B144" s="184">
        <f>'Init 15'!G95</f>
        <v>0</v>
      </c>
      <c r="C144" s="208">
        <f>'Init 15'!G21+'Init 15'!G22</f>
        <v>0</v>
      </c>
      <c r="D144" s="181">
        <f>'Init 15'!H95</f>
        <v>0</v>
      </c>
      <c r="E144" s="208">
        <f>'Init 15'!H21+'Init 15'!H22</f>
        <v>0</v>
      </c>
      <c r="F144" s="181">
        <f>'Init 15'!I95</f>
        <v>0</v>
      </c>
      <c r="G144" s="208">
        <f>'Init 15'!I21+'Init 15'!I22</f>
        <v>0</v>
      </c>
      <c r="H144" s="181">
        <f>'Init 15'!J95</f>
        <v>0</v>
      </c>
      <c r="I144" s="208">
        <f>'Init 15'!J21+'Init 15'!J22</f>
        <v>0</v>
      </c>
      <c r="J144" s="181">
        <f>'Init 15'!K95</f>
        <v>0</v>
      </c>
      <c r="K144" s="208">
        <f>'Init 15'!K21+'Init 15'!K22</f>
        <v>0</v>
      </c>
      <c r="L144" s="246">
        <f t="shared" si="7"/>
        <v>0</v>
      </c>
    </row>
    <row r="145" spans="1:12" hidden="1" outlineLevel="1" x14ac:dyDescent="0.25">
      <c r="A145" s="235" t="s">
        <v>111</v>
      </c>
      <c r="B145" s="184">
        <f>'Init 15'!G96</f>
        <v>0</v>
      </c>
      <c r="C145" s="208">
        <f>'Init 15'!G23</f>
        <v>0</v>
      </c>
      <c r="D145" s="181">
        <f>'Init 15'!H96</f>
        <v>0</v>
      </c>
      <c r="E145" s="208">
        <f>'Init 15'!H23</f>
        <v>0</v>
      </c>
      <c r="F145" s="181">
        <f>'Init 15'!I96</f>
        <v>0</v>
      </c>
      <c r="G145" s="208">
        <f>'Init 15'!I23</f>
        <v>0</v>
      </c>
      <c r="H145" s="181">
        <f>'Init 15'!J96</f>
        <v>0</v>
      </c>
      <c r="I145" s="208">
        <f>'Init 15'!J23</f>
        <v>0</v>
      </c>
      <c r="J145" s="181">
        <f>'Init 15'!K96</f>
        <v>0</v>
      </c>
      <c r="K145" s="208">
        <f>'Init 15'!K23</f>
        <v>0</v>
      </c>
      <c r="L145" s="203">
        <f t="shared" si="7"/>
        <v>0</v>
      </c>
    </row>
    <row r="146" spans="1:12" hidden="1" outlineLevel="1" x14ac:dyDescent="0.25">
      <c r="A146" s="235" t="s">
        <v>112</v>
      </c>
      <c r="B146" s="184">
        <f>'Init 15'!G97</f>
        <v>1326780</v>
      </c>
      <c r="C146" s="208">
        <f>'Init 15'!G24</f>
        <v>13.5</v>
      </c>
      <c r="D146" s="181">
        <f>'Init 15'!H97</f>
        <v>2394100.7999999998</v>
      </c>
      <c r="E146" s="208">
        <f>'Init 15'!H24</f>
        <v>24</v>
      </c>
      <c r="F146" s="181">
        <f>'Init 15'!I97</f>
        <v>2430012.3119999995</v>
      </c>
      <c r="G146" s="208">
        <f>'Init 15'!I24</f>
        <v>24</v>
      </c>
      <c r="H146" s="181">
        <f>'Init 15'!J97</f>
        <v>2466462.4966799994</v>
      </c>
      <c r="I146" s="208">
        <f>'Init 15'!J24</f>
        <v>24</v>
      </c>
      <c r="J146" s="181">
        <f>'Init 15'!K97</f>
        <v>2503459.4341301993</v>
      </c>
      <c r="K146" s="208">
        <f>'Init 15'!K24</f>
        <v>24</v>
      </c>
      <c r="L146" s="203">
        <f t="shared" si="7"/>
        <v>11120815.042810198</v>
      </c>
    </row>
    <row r="147" spans="1:12" hidden="1" outlineLevel="1" x14ac:dyDescent="0.25">
      <c r="A147" s="235" t="s">
        <v>113</v>
      </c>
      <c r="B147" s="184">
        <f>'Init 15'!G98</f>
        <v>0</v>
      </c>
      <c r="C147" s="208">
        <f>'Init 15'!G25+'Init 15'!G26</f>
        <v>0</v>
      </c>
      <c r="D147" s="181">
        <f>'Init 15'!H98</f>
        <v>0</v>
      </c>
      <c r="E147" s="208">
        <f>'Init 15'!H25+'Init 15'!H26</f>
        <v>0</v>
      </c>
      <c r="F147" s="181">
        <f>'Init 15'!I98</f>
        <v>0</v>
      </c>
      <c r="G147" s="208">
        <f>'Init 15'!I25+'Init 15'!I26</f>
        <v>0</v>
      </c>
      <c r="H147" s="181">
        <f>'Init 15'!J98</f>
        <v>0</v>
      </c>
      <c r="I147" s="208">
        <f>'Init 15'!J25+'Init 15'!J26</f>
        <v>0</v>
      </c>
      <c r="J147" s="181">
        <f>'Init 15'!K98</f>
        <v>0</v>
      </c>
      <c r="K147" s="208">
        <f>'Init 15'!K25+'Init 15'!K26</f>
        <v>0</v>
      </c>
      <c r="L147" s="203">
        <f t="shared" si="7"/>
        <v>0</v>
      </c>
    </row>
    <row r="148" spans="1:12" hidden="1" outlineLevel="1" x14ac:dyDescent="0.25">
      <c r="A148" s="235" t="s">
        <v>49</v>
      </c>
      <c r="B148" s="184">
        <f>'Init 15'!G99</f>
        <v>0</v>
      </c>
      <c r="C148" s="208">
        <f>'Init 15'!G27+'Init 15'!G28</f>
        <v>0</v>
      </c>
      <c r="D148" s="181">
        <f>'Init 15'!H99</f>
        <v>0</v>
      </c>
      <c r="E148" s="208">
        <f>'Init 15'!H27+'Init 15'!H28</f>
        <v>0</v>
      </c>
      <c r="F148" s="181">
        <f>'Init 15'!I99</f>
        <v>0</v>
      </c>
      <c r="G148" s="208">
        <f>'Init 15'!I27+'Init 15'!I28</f>
        <v>0</v>
      </c>
      <c r="H148" s="181">
        <f>'Init 15'!J99</f>
        <v>0</v>
      </c>
      <c r="I148" s="208">
        <f>'Init 15'!J27+'Init 15'!J28</f>
        <v>0</v>
      </c>
      <c r="J148" s="181">
        <f>'Init 15'!K99</f>
        <v>0</v>
      </c>
      <c r="K148" s="208">
        <f>'Init 15'!K27+'Init 15'!K28</f>
        <v>0</v>
      </c>
      <c r="L148" s="203">
        <f t="shared" si="7"/>
        <v>0</v>
      </c>
    </row>
    <row r="149" spans="1:12" hidden="1" outlineLevel="1" x14ac:dyDescent="0.25">
      <c r="A149" s="235" t="s">
        <v>303</v>
      </c>
      <c r="B149" s="184">
        <f>'Init 15'!G100</f>
        <v>146118</v>
      </c>
      <c r="C149" s="208">
        <v>0</v>
      </c>
      <c r="D149" s="181">
        <f>'Init 15'!H100</f>
        <v>195216.97999999998</v>
      </c>
      <c r="E149" s="208">
        <v>0</v>
      </c>
      <c r="F149" s="181">
        <f>'Init 15'!I100</f>
        <v>155349.68819999998</v>
      </c>
      <c r="G149" s="208">
        <v>0</v>
      </c>
      <c r="H149" s="181">
        <f>'Init 15'!J100</f>
        <v>157679.93352299996</v>
      </c>
      <c r="I149" s="208">
        <v>0</v>
      </c>
      <c r="J149" s="181">
        <f>'Init 15'!K100</f>
        <v>160045.13252584494</v>
      </c>
      <c r="K149" s="208">
        <v>0</v>
      </c>
      <c r="L149" s="203">
        <f t="shared" si="7"/>
        <v>814409.73424884491</v>
      </c>
    </row>
    <row r="150" spans="1:12" hidden="1" outlineLevel="1" x14ac:dyDescent="0.25">
      <c r="A150" s="235" t="s">
        <v>304</v>
      </c>
      <c r="B150" s="184">
        <f>'Init 15'!G101</f>
        <v>350000</v>
      </c>
      <c r="C150" s="208">
        <v>0</v>
      </c>
      <c r="D150" s="181">
        <f>'Init 15'!H101</f>
        <v>110000</v>
      </c>
      <c r="E150" s="208">
        <v>0</v>
      </c>
      <c r="F150" s="181">
        <f>'Init 15'!I101</f>
        <v>110000</v>
      </c>
      <c r="G150" s="208">
        <v>0</v>
      </c>
      <c r="H150" s="181">
        <f>'Init 15'!J101</f>
        <v>110000</v>
      </c>
      <c r="I150" s="208">
        <v>0</v>
      </c>
      <c r="J150" s="181">
        <f>'Init 15'!K101</f>
        <v>110000</v>
      </c>
      <c r="K150" s="208">
        <v>0</v>
      </c>
      <c r="L150" s="203">
        <f t="shared" si="7"/>
        <v>790000</v>
      </c>
    </row>
    <row r="151" spans="1:12" s="188" customFormat="1" hidden="1" outlineLevel="1" x14ac:dyDescent="0.25">
      <c r="A151" s="236" t="s">
        <v>53</v>
      </c>
      <c r="B151" s="184">
        <f>'Init 15'!G102</f>
        <v>1822898</v>
      </c>
      <c r="C151" s="209">
        <f>SUM(C144:C150)</f>
        <v>13.5</v>
      </c>
      <c r="D151" s="181">
        <f>'Init 15'!H102</f>
        <v>2699317.78</v>
      </c>
      <c r="E151" s="209">
        <f>SUM(E144:E150)</f>
        <v>24</v>
      </c>
      <c r="F151" s="181">
        <f>'Init 15'!I102</f>
        <v>2695362.0001999997</v>
      </c>
      <c r="G151" s="209">
        <f>SUM(G144:G150)</f>
        <v>24</v>
      </c>
      <c r="H151" s="181">
        <f>'Init 15'!J102</f>
        <v>2734142.4302029992</v>
      </c>
      <c r="I151" s="209">
        <f>SUM(I144:I150)</f>
        <v>24</v>
      </c>
      <c r="J151" s="181">
        <f>'Init 15'!K102</f>
        <v>2773504.5666560442</v>
      </c>
      <c r="K151" s="209">
        <f>SUM(K144:K150)</f>
        <v>24</v>
      </c>
      <c r="L151" s="203">
        <f t="shared" si="7"/>
        <v>12725224.777059043</v>
      </c>
    </row>
    <row r="152" spans="1:12" ht="15.75" hidden="1" outlineLevel="1" thickBot="1" x14ac:dyDescent="0.3">
      <c r="A152" s="237" t="s">
        <v>96</v>
      </c>
      <c r="B152" s="184">
        <f>'Init 15'!G103</f>
        <v>0</v>
      </c>
      <c r="C152" s="210">
        <v>0</v>
      </c>
      <c r="D152" s="181">
        <f>'Init 15'!H103</f>
        <v>70000</v>
      </c>
      <c r="E152" s="210">
        <v>0</v>
      </c>
      <c r="F152" s="181">
        <f>'Init 15'!I103</f>
        <v>92000</v>
      </c>
      <c r="G152" s="210">
        <v>0</v>
      </c>
      <c r="H152" s="181">
        <f>'Init 15'!J103</f>
        <v>114000</v>
      </c>
      <c r="I152" s="210">
        <v>0</v>
      </c>
      <c r="J152" s="181">
        <f>'Init 15'!K103</f>
        <v>136000</v>
      </c>
      <c r="K152" s="210">
        <v>0</v>
      </c>
      <c r="L152" s="204">
        <f t="shared" si="7"/>
        <v>412000</v>
      </c>
    </row>
    <row r="153" spans="1:12" s="50" customFormat="1" ht="13.5" collapsed="1" thickBot="1" x14ac:dyDescent="0.25">
      <c r="A153" s="193" t="s">
        <v>120</v>
      </c>
      <c r="B153" s="194">
        <f>B13+B23+B43+B33+B93+B83+B53+B103+B113+B123+B133+B63+B73+B3+B143</f>
        <v>8488038.3720000014</v>
      </c>
      <c r="C153" s="226">
        <f>C13+C23+C43+C33+C93+C83+C53+C103+C113+C123+C133+C63+C73+C3+C143</f>
        <v>46.298211538461537</v>
      </c>
      <c r="D153" s="194">
        <f t="shared" ref="D153:J153" ca="1" si="8">D13+D23+D43+D33+D93+D83+D53+D103+D113+D123+D133+D63+D73+D3+D143</f>
        <v>7665894.4134800006</v>
      </c>
      <c r="E153" s="226">
        <f>E13+E23+E43+E33+E93+E83+E53+E103+E113+E123+E133+E63+E73+E3+E143</f>
        <v>47.090673076923075</v>
      </c>
      <c r="F153" s="194">
        <f t="shared" ca="1" si="8"/>
        <v>7026530.4208521992</v>
      </c>
      <c r="G153" s="226">
        <f>G13+G23+G43+G33+G93+G83+G53+G103+G113+G123+G133+G63+G73+G3+G143</f>
        <v>42.916153846153847</v>
      </c>
      <c r="H153" s="194">
        <f t="shared" ca="1" si="8"/>
        <v>6906862.1407209812</v>
      </c>
      <c r="I153" s="226">
        <f>I13+I23+I43+I33+I93+I83+I53+I103+I113+I123+I133+I63+I73+I3+I143</f>
        <v>41.916153846153847</v>
      </c>
      <c r="J153" s="194">
        <f t="shared" ca="1" si="8"/>
        <v>7029105.0728317956</v>
      </c>
      <c r="K153" s="226">
        <f>K13+K23+K43+K33+K93+K83+K53+K103+K113+K123+K133+K63+K73+K3+K143</f>
        <v>41.921923076923079</v>
      </c>
      <c r="L153" s="205">
        <f ca="1">SUM(L13+L23+L43+L33+L93+L83+L53+L103+L113+L123+L133+L63+L73+L3+L143)</f>
        <v>37116430.419884972</v>
      </c>
    </row>
    <row r="158" spans="1:12" x14ac:dyDescent="0.25">
      <c r="A158" s="195"/>
      <c r="B158" s="200"/>
    </row>
    <row r="159" spans="1:12" x14ac:dyDescent="0.25">
      <c r="B159" s="231"/>
      <c r="C159" s="231"/>
      <c r="D159" s="231"/>
      <c r="E159" s="231"/>
      <c r="F159" s="231"/>
      <c r="G159" s="231"/>
      <c r="H159" s="231"/>
      <c r="I159" s="231"/>
      <c r="J159" s="231"/>
      <c r="K159" s="229"/>
      <c r="L159" s="231"/>
    </row>
    <row r="160" spans="1:12" x14ac:dyDescent="0.25">
      <c r="B160" s="231"/>
      <c r="C160" s="231"/>
      <c r="D160" s="231"/>
      <c r="E160" s="231"/>
      <c r="F160" s="231"/>
      <c r="G160" s="231"/>
      <c r="H160" s="231"/>
      <c r="I160" s="231"/>
      <c r="J160" s="231"/>
      <c r="K160" s="230"/>
      <c r="L160" s="231"/>
    </row>
    <row r="161" spans="2:12" x14ac:dyDescent="0.25">
      <c r="B161" s="231"/>
      <c r="C161" s="231"/>
      <c r="D161" s="231"/>
      <c r="E161" s="231"/>
      <c r="F161" s="231"/>
      <c r="G161" s="231"/>
      <c r="H161" s="231"/>
      <c r="I161" s="231"/>
      <c r="J161" s="231"/>
      <c r="K161" s="229"/>
      <c r="L161" s="231"/>
    </row>
    <row r="162" spans="2:12" x14ac:dyDescent="0.25">
      <c r="B162" s="231"/>
      <c r="C162" s="231"/>
      <c r="D162" s="231"/>
      <c r="E162" s="231"/>
      <c r="F162" s="231"/>
      <c r="G162" s="231"/>
      <c r="H162" s="231"/>
      <c r="I162" s="231"/>
      <c r="J162" s="231"/>
      <c r="K162" s="229"/>
      <c r="L162" s="231"/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pageSetup scale="59" orientation="landscape" r:id="rId1"/>
  <ignoredErrors>
    <ignoredError sqref="D13:F21 H13:J21 D23:H23 J23 D31:J31 D43:J51 D94:J101 I93 G93 E93 D93 F93 H93 J93 D103:J111 D113:J113 D121:J121 D123:J131 D134:J141 D133:E133 I133 G133 F133 H133 J133 D3:J11 D33:J35 D53:J61 D63:J71 D73:J73 D83:J91 D37:J41 D36 F36 H36 J36 D143 D151 F151 H151 J151 F143 H143 J143 D75:J81 D74 F74 H74 J7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34"/>
  <sheetViews>
    <sheetView zoomScale="70" zoomScaleNormal="7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94.140625" style="1" bestFit="1" customWidth="1"/>
    <col min="4" max="4" width="29.140625" style="37" customWidth="1"/>
    <col min="5" max="5" width="14.5703125" style="16" customWidth="1"/>
    <col min="6" max="6" width="13.42578125" style="16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6384" width="9.140625" style="1"/>
  </cols>
  <sheetData>
    <row r="1" spans="1:11" x14ac:dyDescent="0.2">
      <c r="A1" s="50" t="s">
        <v>338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14" t="s">
        <v>458</v>
      </c>
      <c r="D7" s="39" t="s">
        <v>98</v>
      </c>
      <c r="E7" s="17">
        <f>Assumptions!B8</f>
        <v>1.4999999999999999E-2</v>
      </c>
      <c r="F7" s="17" t="s">
        <v>98</v>
      </c>
      <c r="G7" s="66">
        <f>Assumptions!C20</f>
        <v>1923.0769230769233</v>
      </c>
      <c r="H7" s="87">
        <f>G7*(1+$E$7)</f>
        <v>1951.9230769230769</v>
      </c>
      <c r="I7" s="66">
        <f t="shared" ref="I7:K7" si="1">H7*(1+$E$7)</f>
        <v>1981.2019230769229</v>
      </c>
      <c r="J7" s="87">
        <f t="shared" si="1"/>
        <v>2010.9199519230765</v>
      </c>
      <c r="K7" s="109">
        <f t="shared" si="1"/>
        <v>2041.0837512019225</v>
      </c>
    </row>
    <row r="8" spans="1:11" x14ac:dyDescent="0.2">
      <c r="A8" s="167"/>
      <c r="B8" s="168"/>
      <c r="C8" s="3" t="s">
        <v>19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Assumptions!C21</f>
        <v>1776</v>
      </c>
      <c r="H8" s="86">
        <f>G8*(1+$E$8)</f>
        <v>1802.6399999999999</v>
      </c>
      <c r="I8" s="105">
        <f>H8*(1+$E$8)</f>
        <v>1829.6795999999997</v>
      </c>
      <c r="J8" s="86">
        <f>I8*(1+$E$8)</f>
        <v>1857.1247939999996</v>
      </c>
      <c r="K8" s="108">
        <f>J8*(1+$E$8)</f>
        <v>1884.9816659099995</v>
      </c>
    </row>
    <row r="9" spans="1:11" x14ac:dyDescent="0.2">
      <c r="A9" s="167"/>
      <c r="B9" s="168"/>
      <c r="C9" s="3" t="s">
        <v>61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Assumptions!C22</f>
        <v>1890</v>
      </c>
      <c r="H9" s="86">
        <f>G9*(1+$E$9)</f>
        <v>1918.35</v>
      </c>
      <c r="I9" s="105">
        <f>H9*(1+$E$9)</f>
        <v>1947.1252499999998</v>
      </c>
      <c r="J9" s="86">
        <f>I9*(1+$E$9)</f>
        <v>1976.3321287499996</v>
      </c>
      <c r="K9" s="108">
        <f>J9*(1+$E$9)</f>
        <v>2005.9771106812493</v>
      </c>
    </row>
    <row r="10" spans="1:11" x14ac:dyDescent="0.2">
      <c r="A10" s="167"/>
      <c r="B10" s="168"/>
      <c r="C10" s="3" t="s">
        <v>62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Assumptions!C23</f>
        <v>1776</v>
      </c>
      <c r="H10" s="86">
        <f>G10*(1+$E$10)</f>
        <v>1802.6399999999999</v>
      </c>
      <c r="I10" s="105">
        <f>H10*(1+$E$10)</f>
        <v>1829.6795999999997</v>
      </c>
      <c r="J10" s="86">
        <f>I10*(1+$E$10)</f>
        <v>1857.1247939999996</v>
      </c>
      <c r="K10" s="108">
        <f>J10*(1+$E$10)</f>
        <v>1884.9816659099995</v>
      </c>
    </row>
    <row r="11" spans="1:11" x14ac:dyDescent="0.2">
      <c r="A11" s="167"/>
      <c r="B11" s="168"/>
      <c r="C11" s="3" t="s">
        <v>63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Assumptions!C24</f>
        <v>1884.8</v>
      </c>
      <c r="H11" s="86">
        <f>G11*(1+$E$11)</f>
        <v>1913.0719999999997</v>
      </c>
      <c r="I11" s="105">
        <f t="shared" ref="I11:K12" si="2">H11*(1+$E$11)</f>
        <v>1941.7680799999994</v>
      </c>
      <c r="J11" s="86">
        <f t="shared" si="2"/>
        <v>1970.8946011999992</v>
      </c>
      <c r="K11" s="108">
        <f t="shared" si="2"/>
        <v>2000.4580202179991</v>
      </c>
    </row>
    <row r="12" spans="1:11" x14ac:dyDescent="0.2">
      <c r="A12" s="167"/>
      <c r="B12" s="168"/>
      <c r="C12" s="3" t="s">
        <v>92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Assumptions!C28</f>
        <v>4400</v>
      </c>
      <c r="H12" s="86">
        <f>G12*(1+$E$11)</f>
        <v>4466</v>
      </c>
      <c r="I12" s="105">
        <f t="shared" si="2"/>
        <v>4532.99</v>
      </c>
      <c r="J12" s="86">
        <f t="shared" si="2"/>
        <v>4600.9848499999989</v>
      </c>
      <c r="K12" s="108">
        <f t="shared" si="2"/>
        <v>4669.9996227499987</v>
      </c>
    </row>
    <row r="13" spans="1:11" x14ac:dyDescent="0.2">
      <c r="A13" s="167"/>
      <c r="B13" s="168"/>
      <c r="C13" s="3" t="s">
        <v>64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Assumptions!C25</f>
        <v>7200</v>
      </c>
      <c r="H13" s="86">
        <f>G13*(1+$E$13)</f>
        <v>7307.9999999999991</v>
      </c>
      <c r="I13" s="105">
        <f>H13*(1+$E$13)</f>
        <v>7417.6199999999981</v>
      </c>
      <c r="J13" s="86">
        <f>I13*(1+$E$13)</f>
        <v>7528.884299999997</v>
      </c>
      <c r="K13" s="108">
        <f>J13*(1+$E$13)</f>
        <v>7641.8175644999965</v>
      </c>
    </row>
    <row r="14" spans="1:11" x14ac:dyDescent="0.2">
      <c r="A14" s="167"/>
      <c r="B14" s="168"/>
      <c r="C14" s="3" t="s">
        <v>66</v>
      </c>
      <c r="D14" s="39" t="s">
        <v>98</v>
      </c>
      <c r="E14" s="17">
        <f>Assumptions!$B$8</f>
        <v>1.4999999999999999E-2</v>
      </c>
      <c r="F14" s="17" t="s">
        <v>98</v>
      </c>
      <c r="G14" s="66">
        <f>Assumptions!C27</f>
        <v>11000</v>
      </c>
      <c r="H14" s="86">
        <f>G14*(1+$E$14)</f>
        <v>11164.999999999998</v>
      </c>
      <c r="I14" s="105">
        <f>H14*(1+$E$14)</f>
        <v>11332.474999999997</v>
      </c>
      <c r="J14" s="86">
        <f>I14*(1+$E$14)</f>
        <v>11502.462124999996</v>
      </c>
      <c r="K14" s="108">
        <f>J14*(1+$E$14)</f>
        <v>11674.999056874994</v>
      </c>
    </row>
    <row r="15" spans="1:11" ht="13.5" thickBot="1" x14ac:dyDescent="0.25">
      <c r="A15" s="167"/>
      <c r="B15" s="49"/>
      <c r="C15" s="30" t="s">
        <v>65</v>
      </c>
      <c r="D15" s="40" t="s">
        <v>98</v>
      </c>
      <c r="E15" s="31">
        <f>Assumptions!$B$8</f>
        <v>1.4999999999999999E-2</v>
      </c>
      <c r="F15" s="31" t="s">
        <v>98</v>
      </c>
      <c r="G15" s="67">
        <f>Assumptions!C26</f>
        <v>9000</v>
      </c>
      <c r="H15" s="88">
        <f>G15*(1+$E$15)</f>
        <v>9135</v>
      </c>
      <c r="I15" s="67">
        <f>H15*(1+$E$15)</f>
        <v>9272.0249999999996</v>
      </c>
      <c r="J15" s="88">
        <f>I15*(1+$E$15)</f>
        <v>9411.1053749999992</v>
      </c>
      <c r="K15" s="110">
        <f>J15*(1+$E$15)</f>
        <v>9552.2719556249976</v>
      </c>
    </row>
    <row r="16" spans="1:11" x14ac:dyDescent="0.2">
      <c r="A16" s="167"/>
      <c r="B16" s="166" t="s">
        <v>315</v>
      </c>
      <c r="C16" s="21" t="s">
        <v>69</v>
      </c>
      <c r="D16" s="38" t="s">
        <v>98</v>
      </c>
      <c r="E16" s="22">
        <f>Assumptions!$B$8</f>
        <v>1.4999999999999999E-2</v>
      </c>
      <c r="F16" s="22" t="s">
        <v>98</v>
      </c>
      <c r="G16" s="65">
        <f>Assumptions!B9</f>
        <v>10093</v>
      </c>
      <c r="H16" s="85">
        <f>G16*(1+$E$16)</f>
        <v>10244.394999999999</v>
      </c>
      <c r="I16" s="72">
        <f>H16*(1+$E$16)</f>
        <v>10398.060924999998</v>
      </c>
      <c r="J16" s="85">
        <f>I16*(1+$E$16)</f>
        <v>10554.031838874997</v>
      </c>
      <c r="K16" s="107">
        <f>J16*(1+$E$16)</f>
        <v>10712.34231645812</v>
      </c>
    </row>
    <row r="17" spans="1:12" x14ac:dyDescent="0.2">
      <c r="A17" s="167"/>
      <c r="B17" s="168"/>
      <c r="C17" s="3" t="s">
        <v>68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Assumptions!B10</f>
        <v>4154</v>
      </c>
      <c r="H17" s="86">
        <f>G17*(1+$E$17)</f>
        <v>4216.3099999999995</v>
      </c>
      <c r="I17" s="105">
        <f>H17*(1+$E$17)</f>
        <v>4279.5546499999991</v>
      </c>
      <c r="J17" s="86">
        <f>I17*(1+$E$17)</f>
        <v>4343.7479697499984</v>
      </c>
      <c r="K17" s="108">
        <f>J17*(1+$E$17)</f>
        <v>4408.9041892962478</v>
      </c>
    </row>
    <row r="18" spans="1:12" x14ac:dyDescent="0.2">
      <c r="A18" s="167"/>
      <c r="B18" s="168"/>
      <c r="C18" s="3" t="s">
        <v>70</v>
      </c>
      <c r="D18" s="39" t="s">
        <v>98</v>
      </c>
      <c r="E18" s="17">
        <f>Assumptions!$B$8</f>
        <v>1.4999999999999999E-2</v>
      </c>
      <c r="F18" s="17" t="s">
        <v>98</v>
      </c>
      <c r="G18" s="66">
        <f>Assumptions!B11</f>
        <v>5939</v>
      </c>
      <c r="H18" s="86">
        <f>G18*(1+$E$18)</f>
        <v>6028.0849999999991</v>
      </c>
      <c r="I18" s="105">
        <f>H18*(1+$E$18)</f>
        <v>6118.5062749999988</v>
      </c>
      <c r="J18" s="86">
        <f>I18*(1+$E$18)</f>
        <v>6210.2838691249981</v>
      </c>
      <c r="K18" s="108">
        <f>J18*(1+$E$18)</f>
        <v>6303.4381271618722</v>
      </c>
    </row>
    <row r="19" spans="1:12" ht="13.5" thickBot="1" x14ac:dyDescent="0.25">
      <c r="A19" s="167"/>
      <c r="B19" s="168"/>
      <c r="C19" s="11" t="s">
        <v>71</v>
      </c>
      <c r="D19" s="43" t="s">
        <v>98</v>
      </c>
      <c r="E19" s="18">
        <f>Assumptions!$B$8</f>
        <v>1.4999999999999999E-2</v>
      </c>
      <c r="F19" s="18" t="s">
        <v>98</v>
      </c>
      <c r="G19" s="68">
        <f>Assumptions!B12</f>
        <v>344</v>
      </c>
      <c r="H19" s="89">
        <f>G19*(1+$E$19)</f>
        <v>349.15999999999997</v>
      </c>
      <c r="I19" s="106">
        <f>H19*(1+$E$19)</f>
        <v>354.39739999999995</v>
      </c>
      <c r="J19" s="89">
        <f>I19*(1+$E$19)</f>
        <v>359.71336099999991</v>
      </c>
      <c r="K19" s="111">
        <f>J19*(1+$E$19)</f>
        <v>365.10906141499987</v>
      </c>
    </row>
    <row r="20" spans="1:12" x14ac:dyDescent="0.2">
      <c r="A20" s="167"/>
      <c r="B20" s="166" t="s">
        <v>324</v>
      </c>
      <c r="C20" s="173" t="s">
        <v>103</v>
      </c>
      <c r="D20" s="38" t="s">
        <v>98</v>
      </c>
      <c r="E20" s="174"/>
      <c r="F20" s="174" t="s">
        <v>98</v>
      </c>
      <c r="G20" s="69">
        <v>0</v>
      </c>
      <c r="H20" s="90">
        <v>0</v>
      </c>
      <c r="I20" s="69">
        <v>0</v>
      </c>
      <c r="J20" s="90">
        <v>0</v>
      </c>
      <c r="K20" s="112">
        <v>0</v>
      </c>
    </row>
    <row r="21" spans="1:12" x14ac:dyDescent="0.2">
      <c r="A21" s="167"/>
      <c r="B21" s="168"/>
      <c r="C21" s="11" t="s">
        <v>104</v>
      </c>
      <c r="D21" s="44" t="s">
        <v>98</v>
      </c>
      <c r="E21" s="18"/>
      <c r="F21" s="18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</row>
    <row r="22" spans="1:12" x14ac:dyDescent="0.2">
      <c r="A22" s="167"/>
      <c r="B22" s="168"/>
      <c r="C22" s="11" t="s">
        <v>459</v>
      </c>
      <c r="D22" s="44" t="s">
        <v>98</v>
      </c>
      <c r="E22" s="18"/>
      <c r="F22" s="18" t="s">
        <v>98</v>
      </c>
      <c r="G22" s="73">
        <f>SUM(G63*G78)/52</f>
        <v>1</v>
      </c>
      <c r="H22" s="93">
        <f t="shared" ref="H22:K22" si="3">SUM(H63*H78)/52</f>
        <v>1</v>
      </c>
      <c r="I22" s="73">
        <f t="shared" si="3"/>
        <v>1</v>
      </c>
      <c r="J22" s="93">
        <f t="shared" si="3"/>
        <v>1</v>
      </c>
      <c r="K22" s="115">
        <f t="shared" si="3"/>
        <v>1</v>
      </c>
    </row>
    <row r="23" spans="1:12" x14ac:dyDescent="0.2">
      <c r="A23" s="167"/>
      <c r="B23" s="168"/>
      <c r="C23" s="14" t="s">
        <v>78</v>
      </c>
      <c r="D23" s="39" t="s">
        <v>98</v>
      </c>
      <c r="E23" s="25"/>
      <c r="F23" s="25" t="s">
        <v>98</v>
      </c>
      <c r="G23" s="73">
        <f>SUM(G49*G64,G51*G66,G53*G68,G55*G70,G57*G72,G59*G74,G61*G76)/52</f>
        <v>0.68461538461538463</v>
      </c>
      <c r="H23" s="93">
        <f t="shared" ref="H23:K23" si="4">SUM(H49*H64,H51*H66,H53*H68,H55*H70,H57*H72,H59*H74,H61*H76)/52</f>
        <v>0</v>
      </c>
      <c r="I23" s="73">
        <f t="shared" si="4"/>
        <v>0</v>
      </c>
      <c r="J23" s="93">
        <f t="shared" si="4"/>
        <v>0</v>
      </c>
      <c r="K23" s="115">
        <f t="shared" si="4"/>
        <v>0</v>
      </c>
      <c r="L23" s="26"/>
    </row>
    <row r="24" spans="1:12" x14ac:dyDescent="0.2">
      <c r="A24" s="167"/>
      <c r="B24" s="168"/>
      <c r="C24" s="14" t="s">
        <v>79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80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81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82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83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105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84</v>
      </c>
      <c r="D30" s="39" t="s">
        <v>98</v>
      </c>
      <c r="E30" s="25"/>
      <c r="F30" s="25" t="s">
        <v>98</v>
      </c>
      <c r="G30" s="73">
        <f>SUM(G50*G65,G52*G67,G54*G69,G56*G71,G58*G73,G60*G75,G62*G77)/52</f>
        <v>0.34134615384615385</v>
      </c>
      <c r="H30" s="93">
        <f t="shared" ref="H30:K30" si="5">SUM(H50*H65,H52*H67,H54*H69,H56*H71,H58*H73,H60*H75,H62*H77)/52</f>
        <v>0</v>
      </c>
      <c r="I30" s="73">
        <f t="shared" si="5"/>
        <v>0</v>
      </c>
      <c r="J30" s="93">
        <f t="shared" si="5"/>
        <v>0</v>
      </c>
      <c r="K30" s="115">
        <f t="shared" si="5"/>
        <v>0</v>
      </c>
      <c r="L30" s="26"/>
    </row>
    <row r="31" spans="1:12" x14ac:dyDescent="0.2">
      <c r="A31" s="167"/>
      <c r="B31" s="168"/>
      <c r="C31" s="14" t="s">
        <v>85</v>
      </c>
      <c r="D31" s="39" t="s">
        <v>98</v>
      </c>
      <c r="E31" s="25"/>
      <c r="F31" s="25" t="s">
        <v>98</v>
      </c>
      <c r="G31" s="73">
        <v>0</v>
      </c>
      <c r="H31" s="93">
        <v>0</v>
      </c>
      <c r="I31" s="73">
        <v>0</v>
      </c>
      <c r="J31" s="93">
        <v>0</v>
      </c>
      <c r="K31" s="115">
        <v>0</v>
      </c>
      <c r="L31" s="26"/>
    </row>
    <row r="32" spans="1:12" x14ac:dyDescent="0.2">
      <c r="A32" s="167"/>
      <c r="B32" s="168"/>
      <c r="C32" s="14" t="s">
        <v>106</v>
      </c>
      <c r="D32" s="39" t="s">
        <v>98</v>
      </c>
      <c r="E32" s="25"/>
      <c r="F32" s="25" t="s">
        <v>98</v>
      </c>
      <c r="G32" s="73">
        <v>0</v>
      </c>
      <c r="H32" s="93">
        <v>0</v>
      </c>
      <c r="I32" s="73">
        <v>0</v>
      </c>
      <c r="J32" s="93">
        <v>0</v>
      </c>
      <c r="K32" s="115">
        <v>0</v>
      </c>
      <c r="L32" s="34"/>
    </row>
    <row r="33" spans="1:11" ht="13.5" thickBot="1" x14ac:dyDescent="0.25">
      <c r="A33" s="167"/>
      <c r="B33" s="49"/>
      <c r="C33" s="30" t="s">
        <v>30</v>
      </c>
      <c r="D33" s="40" t="s">
        <v>98</v>
      </c>
      <c r="E33" s="31"/>
      <c r="F33" s="31" t="s">
        <v>98</v>
      </c>
      <c r="G33" s="71">
        <f>ROUND(G20,0)+ROUND(G21,0)+ROUND(G23,0)+ROUND(G24,0)+ROUND(G25,0)+ROUND(G26,0)+ROUND(G27,0)+ROUND(G28,0)+ROUND(G29,0)+ROUND(G30,0)+ROUND(G31,0)+ROUND(G32,0)+ROUND(G22,0)</f>
        <v>2</v>
      </c>
      <c r="H33" s="92">
        <f t="shared" ref="H33:K33" si="6">ROUND(H20,0)+ROUND(H21,0)+ROUND(H23,0)+ROUND(H24,0)+ROUND(H25,0)+ROUND(H26,0)+ROUND(H27,0)+ROUND(H28,0)+ROUND(H29,0)+ROUND(H30,0)+ROUND(H31,0)+ROUND(H32,0)+ROUND(H22,0)</f>
        <v>1</v>
      </c>
      <c r="I33" s="71">
        <f t="shared" si="6"/>
        <v>1</v>
      </c>
      <c r="J33" s="92">
        <f t="shared" si="6"/>
        <v>1</v>
      </c>
      <c r="K33" s="114">
        <f t="shared" si="6"/>
        <v>1</v>
      </c>
    </row>
    <row r="34" spans="1:11" x14ac:dyDescent="0.2">
      <c r="A34" s="167"/>
      <c r="B34" s="166" t="s">
        <v>316</v>
      </c>
      <c r="C34" s="35" t="s">
        <v>86</v>
      </c>
      <c r="D34" s="38" t="s">
        <v>98</v>
      </c>
      <c r="E34" s="36"/>
      <c r="F34" s="36" t="s">
        <v>98</v>
      </c>
      <c r="G34" s="69">
        <f>SUM(G49+G51+G53+G55+G57+G59+G61+G63)</f>
        <v>9.1999999999999993</v>
      </c>
      <c r="H34" s="90">
        <f t="shared" ref="H34:K34" si="7">SUM(H49+H51+H53+H55+H57+H59+H61)</f>
        <v>0</v>
      </c>
      <c r="I34" s="69">
        <f t="shared" si="7"/>
        <v>0</v>
      </c>
      <c r="J34" s="90">
        <f t="shared" si="7"/>
        <v>0</v>
      </c>
      <c r="K34" s="112">
        <f t="shared" si="7"/>
        <v>0</v>
      </c>
    </row>
    <row r="35" spans="1:11" x14ac:dyDescent="0.2">
      <c r="A35" s="167"/>
      <c r="B35" s="168"/>
      <c r="C35" s="14" t="s">
        <v>108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14" t="s">
        <v>107</v>
      </c>
      <c r="D36" s="39" t="s">
        <v>98</v>
      </c>
      <c r="E36" s="25"/>
      <c r="F36" s="25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14" t="s">
        <v>109</v>
      </c>
      <c r="D37" s="39" t="s">
        <v>98</v>
      </c>
      <c r="E37" s="25"/>
      <c r="F37" s="25" t="s">
        <v>98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31</v>
      </c>
      <c r="D38" s="39" t="s">
        <v>98</v>
      </c>
      <c r="E38" s="17"/>
      <c r="F38" s="17" t="s">
        <v>98</v>
      </c>
      <c r="G38" s="73">
        <v>0</v>
      </c>
      <c r="H38" s="93">
        <v>0</v>
      </c>
      <c r="I38" s="73">
        <v>0</v>
      </c>
      <c r="J38" s="93">
        <v>0</v>
      </c>
      <c r="K38" s="115">
        <v>0</v>
      </c>
    </row>
    <row r="39" spans="1:11" x14ac:dyDescent="0.2">
      <c r="A39" s="167"/>
      <c r="B39" s="168"/>
      <c r="C39" s="3" t="s">
        <v>32</v>
      </c>
      <c r="D39" s="39" t="s">
        <v>98</v>
      </c>
      <c r="E39" s="17"/>
      <c r="F39" s="17" t="s">
        <v>29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33</v>
      </c>
      <c r="D40" s="39" t="s">
        <v>98</v>
      </c>
      <c r="E40" s="17"/>
      <c r="F40" s="17" t="s">
        <v>29</v>
      </c>
      <c r="G40" s="73">
        <f>ROUNDUP(G34+G35+G36+G37+G38-G39,0)</f>
        <v>10</v>
      </c>
      <c r="H40" s="93">
        <f t="shared" ref="H40:K40" si="8">ROUNDUP(H34+H35+H36+H37+H38-H39,0)</f>
        <v>0</v>
      </c>
      <c r="I40" s="73">
        <f t="shared" si="8"/>
        <v>0</v>
      </c>
      <c r="J40" s="93">
        <f t="shared" si="8"/>
        <v>0</v>
      </c>
      <c r="K40" s="115">
        <f t="shared" si="8"/>
        <v>0</v>
      </c>
    </row>
    <row r="41" spans="1:11" x14ac:dyDescent="0.2">
      <c r="A41" s="167"/>
      <c r="B41" s="168"/>
      <c r="C41" s="14" t="s">
        <v>34</v>
      </c>
      <c r="D41" s="39" t="s">
        <v>98</v>
      </c>
      <c r="E41" s="25"/>
      <c r="F41" s="25" t="s">
        <v>98</v>
      </c>
      <c r="G41" s="73">
        <v>0</v>
      </c>
      <c r="H41" s="93">
        <v>0</v>
      </c>
      <c r="I41" s="73">
        <v>0</v>
      </c>
      <c r="J41" s="93">
        <v>0</v>
      </c>
      <c r="K41" s="115">
        <v>0</v>
      </c>
    </row>
    <row r="42" spans="1:11" x14ac:dyDescent="0.2">
      <c r="A42" s="167"/>
      <c r="B42" s="168"/>
      <c r="C42" s="3" t="s">
        <v>35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9">H41</f>
        <v>0</v>
      </c>
      <c r="I42" s="73">
        <f t="shared" si="9"/>
        <v>0</v>
      </c>
      <c r="J42" s="93">
        <f t="shared" si="9"/>
        <v>0</v>
      </c>
      <c r="K42" s="115">
        <f t="shared" si="9"/>
        <v>0</v>
      </c>
    </row>
    <row r="43" spans="1:11" x14ac:dyDescent="0.2">
      <c r="A43" s="167"/>
      <c r="B43" s="168"/>
      <c r="C43" s="3" t="s">
        <v>36</v>
      </c>
      <c r="D43" s="39" t="s">
        <v>98</v>
      </c>
      <c r="E43" s="17"/>
      <c r="F43" s="17" t="s">
        <v>98</v>
      </c>
      <c r="G43" s="73">
        <f>IF(G42-G41&gt;0,G42-G41,0)</f>
        <v>0</v>
      </c>
      <c r="H43" s="93">
        <f t="shared" ref="H43:K43" si="10">IF(H42-H41&gt;0,H42-H41,0)</f>
        <v>0</v>
      </c>
      <c r="I43" s="73">
        <f t="shared" si="10"/>
        <v>0</v>
      </c>
      <c r="J43" s="93">
        <f t="shared" si="10"/>
        <v>0</v>
      </c>
      <c r="K43" s="115">
        <f t="shared" si="10"/>
        <v>0</v>
      </c>
    </row>
    <row r="44" spans="1:11" x14ac:dyDescent="0.2">
      <c r="A44" s="167"/>
      <c r="B44" s="168"/>
      <c r="C44" s="3" t="s">
        <v>37</v>
      </c>
      <c r="D44" s="39" t="s">
        <v>98</v>
      </c>
      <c r="E44" s="17"/>
      <c r="F44" s="17" t="s">
        <v>98</v>
      </c>
      <c r="G44" s="73">
        <f>G43</f>
        <v>0</v>
      </c>
      <c r="H44" s="93">
        <f t="shared" ref="H44:K44" si="11">H43</f>
        <v>0</v>
      </c>
      <c r="I44" s="73">
        <f t="shared" si="11"/>
        <v>0</v>
      </c>
      <c r="J44" s="93">
        <f t="shared" si="11"/>
        <v>0</v>
      </c>
      <c r="K44" s="115">
        <f t="shared" si="11"/>
        <v>0</v>
      </c>
    </row>
    <row r="45" spans="1:11" x14ac:dyDescent="0.2">
      <c r="A45" s="167"/>
      <c r="B45" s="168"/>
      <c r="C45" s="3" t="s">
        <v>408</v>
      </c>
      <c r="D45" s="39" t="s">
        <v>98</v>
      </c>
      <c r="E45" s="17"/>
      <c r="F45" s="17" t="s">
        <v>98</v>
      </c>
      <c r="G45" s="73">
        <f>ROUND(G23,0)+ROUND(G24,0)+ROUND(G25,0)+ROUND(G26,0)+ROUND(G27,0)+ROUND(G28,0)-ROUND(G38,0)+ROUND(G22,0)</f>
        <v>2</v>
      </c>
      <c r="H45" s="93">
        <f t="shared" ref="H45:K45" si="12">ROUND(H23,0)+ROUND(H24,0)+ROUND(H25,0)+ROUND(H26,0)+ROUND(H27,0)+ROUND(H28,0)-ROUND(H38,0)+ROUND(H22,0)</f>
        <v>1</v>
      </c>
      <c r="I45" s="73">
        <f t="shared" si="12"/>
        <v>1</v>
      </c>
      <c r="J45" s="93">
        <f t="shared" si="12"/>
        <v>1</v>
      </c>
      <c r="K45" s="115">
        <f t="shared" si="12"/>
        <v>1</v>
      </c>
    </row>
    <row r="46" spans="1:11" x14ac:dyDescent="0.2">
      <c r="A46" s="167"/>
      <c r="B46" s="168"/>
      <c r="C46" s="3" t="s">
        <v>410</v>
      </c>
      <c r="D46" s="39" t="s">
        <v>98</v>
      </c>
      <c r="E46" s="17"/>
      <c r="F46" s="17" t="s">
        <v>98</v>
      </c>
      <c r="G46" s="73">
        <f>G45</f>
        <v>2</v>
      </c>
      <c r="H46" s="93">
        <f>IF(H45-G45&gt;0,H45-G45,0)</f>
        <v>0</v>
      </c>
      <c r="I46" s="73">
        <f t="shared" ref="I46:K46" si="13">IF(I45-H45&gt;0,I45-H45,0)</f>
        <v>0</v>
      </c>
      <c r="J46" s="93">
        <f t="shared" si="13"/>
        <v>0</v>
      </c>
      <c r="K46" s="115">
        <f t="shared" si="13"/>
        <v>0</v>
      </c>
    </row>
    <row r="47" spans="1:11" x14ac:dyDescent="0.2">
      <c r="A47" s="167"/>
      <c r="B47" s="168"/>
      <c r="C47" s="3" t="s">
        <v>40</v>
      </c>
      <c r="D47" s="39" t="s">
        <v>98</v>
      </c>
      <c r="E47" s="17"/>
      <c r="F47" s="17" t="s">
        <v>98</v>
      </c>
      <c r="G47" s="73">
        <f>ROUND(G29,0)+ROUND(G30,0)+ROUND(G31,0)+ROUND(G32,0)</f>
        <v>0</v>
      </c>
      <c r="H47" s="93">
        <f t="shared" ref="H47:K47" si="14">ROUND(H29,0)+ROUND(H30,0)+ROUND(H31,0)+ROUND(H32,0)</f>
        <v>0</v>
      </c>
      <c r="I47" s="73">
        <f t="shared" si="14"/>
        <v>0</v>
      </c>
      <c r="J47" s="93">
        <f t="shared" si="14"/>
        <v>0</v>
      </c>
      <c r="K47" s="115">
        <f t="shared" si="14"/>
        <v>0</v>
      </c>
    </row>
    <row r="48" spans="1:11" ht="13.5" thickBot="1" x14ac:dyDescent="0.25">
      <c r="A48" s="150"/>
      <c r="B48" s="51"/>
      <c r="C48" s="30" t="s">
        <v>41</v>
      </c>
      <c r="D48" s="41" t="s">
        <v>98</v>
      </c>
      <c r="E48" s="31"/>
      <c r="F48" s="31" t="s">
        <v>98</v>
      </c>
      <c r="G48" s="71">
        <f>G47</f>
        <v>0</v>
      </c>
      <c r="H48" s="92">
        <f>IF(H47-G47&gt;0,H47-G47,0)</f>
        <v>0</v>
      </c>
      <c r="I48" s="71">
        <f t="shared" ref="I48" si="15">IF(I47-H47&gt;0,I47-H47,0)</f>
        <v>0</v>
      </c>
      <c r="J48" s="92">
        <f t="shared" ref="J48" si="16">IF(J47-I47&gt;0,J47-I47,0)</f>
        <v>0</v>
      </c>
      <c r="K48" s="114">
        <f t="shared" ref="K48" si="17">IF(K47-J47&gt;0,K47-J47,0)</f>
        <v>0</v>
      </c>
    </row>
    <row r="49" spans="1:11" x14ac:dyDescent="0.2">
      <c r="A49" s="48" t="s">
        <v>317</v>
      </c>
      <c r="B49" s="168" t="s">
        <v>318</v>
      </c>
      <c r="C49" s="227" t="s">
        <v>260</v>
      </c>
      <c r="D49" s="40" t="s">
        <v>98</v>
      </c>
      <c r="E49" s="19"/>
      <c r="F49" s="19" t="s">
        <v>98</v>
      </c>
      <c r="G49" s="70">
        <f>0.25+0.05+0.5</f>
        <v>0.8</v>
      </c>
      <c r="H49" s="91">
        <v>0</v>
      </c>
      <c r="I49" s="70">
        <v>0</v>
      </c>
      <c r="J49" s="91">
        <v>0</v>
      </c>
      <c r="K49" s="113">
        <v>0</v>
      </c>
    </row>
    <row r="50" spans="1:11" x14ac:dyDescent="0.2">
      <c r="A50" s="48"/>
      <c r="B50" s="168"/>
      <c r="C50" s="227" t="s">
        <v>261</v>
      </c>
      <c r="D50" s="39" t="s">
        <v>98</v>
      </c>
      <c r="E50" s="17"/>
      <c r="F50" s="17" t="s">
        <v>98</v>
      </c>
      <c r="G50" s="73">
        <v>0.5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262</v>
      </c>
      <c r="D51" s="39" t="s">
        <v>98</v>
      </c>
      <c r="E51" s="17"/>
      <c r="F51" s="17" t="s">
        <v>98</v>
      </c>
      <c r="G51" s="73">
        <f>0.4+0.5</f>
        <v>0.9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263</v>
      </c>
      <c r="D52" s="39" t="s">
        <v>98</v>
      </c>
      <c r="E52" s="17"/>
      <c r="F52" s="17" t="s">
        <v>98</v>
      </c>
      <c r="G52" s="73">
        <v>0.5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264</v>
      </c>
      <c r="D53" s="39" t="s">
        <v>98</v>
      </c>
      <c r="E53" s="17"/>
      <c r="F53" s="17" t="s">
        <v>98</v>
      </c>
      <c r="G53" s="73">
        <v>0.9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265</v>
      </c>
      <c r="D54" s="39" t="s">
        <v>98</v>
      </c>
      <c r="E54" s="17"/>
      <c r="F54" s="17" t="s">
        <v>98</v>
      </c>
      <c r="G54" s="73">
        <v>0.5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14" t="s">
        <v>266</v>
      </c>
      <c r="D55" s="39" t="s">
        <v>98</v>
      </c>
      <c r="E55" s="17"/>
      <c r="F55" s="17" t="s">
        <v>98</v>
      </c>
      <c r="G55" s="73">
        <v>0.25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14" t="s">
        <v>267</v>
      </c>
      <c r="D56" s="39" t="s">
        <v>98</v>
      </c>
      <c r="E56" s="17"/>
      <c r="F56" s="17" t="s">
        <v>98</v>
      </c>
      <c r="G56" s="73">
        <v>0.125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168"/>
      <c r="C57" s="14" t="s">
        <v>269</v>
      </c>
      <c r="D57" s="39" t="s">
        <v>98</v>
      </c>
      <c r="E57" s="17"/>
      <c r="F57" s="17" t="s">
        <v>98</v>
      </c>
      <c r="G57" s="73">
        <f>2+0.1+0.25</f>
        <v>2.35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168"/>
      <c r="C58" s="14" t="s">
        <v>268</v>
      </c>
      <c r="D58" s="39" t="s">
        <v>98</v>
      </c>
      <c r="E58" s="17"/>
      <c r="F58" s="17" t="s">
        <v>98</v>
      </c>
      <c r="G58" s="73">
        <v>0.25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168"/>
      <c r="C59" s="14" t="s">
        <v>270</v>
      </c>
      <c r="D59" s="39" t="s">
        <v>98</v>
      </c>
      <c r="E59" s="17"/>
      <c r="F59" s="17" t="s">
        <v>98</v>
      </c>
      <c r="G59" s="73">
        <v>1.5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168"/>
      <c r="C60" s="14" t="s">
        <v>271</v>
      </c>
      <c r="D60" s="39" t="s">
        <v>98</v>
      </c>
      <c r="E60" s="17"/>
      <c r="F60" s="17" t="s">
        <v>98</v>
      </c>
      <c r="G60" s="73">
        <v>1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168"/>
      <c r="C61" s="14" t="s">
        <v>272</v>
      </c>
      <c r="D61" s="39" t="s">
        <v>98</v>
      </c>
      <c r="E61" s="17"/>
      <c r="F61" s="17" t="s">
        <v>98</v>
      </c>
      <c r="G61" s="73">
        <v>1.5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168"/>
      <c r="C62" s="151" t="s">
        <v>273</v>
      </c>
      <c r="D62" s="43" t="s">
        <v>98</v>
      </c>
      <c r="E62" s="18"/>
      <c r="F62" s="18" t="s">
        <v>98</v>
      </c>
      <c r="G62" s="145">
        <v>1</v>
      </c>
      <c r="H62" s="146">
        <v>0</v>
      </c>
      <c r="I62" s="145">
        <v>0</v>
      </c>
      <c r="J62" s="146">
        <v>0</v>
      </c>
      <c r="K62" s="147">
        <v>0</v>
      </c>
    </row>
    <row r="63" spans="1:11" ht="13.5" thickBot="1" x14ac:dyDescent="0.25">
      <c r="A63" s="48"/>
      <c r="B63" s="49"/>
      <c r="C63" s="225" t="s">
        <v>460</v>
      </c>
      <c r="D63" s="41" t="s">
        <v>98</v>
      </c>
      <c r="E63" s="31"/>
      <c r="F63" s="31" t="s">
        <v>98</v>
      </c>
      <c r="G63" s="71">
        <v>1</v>
      </c>
      <c r="H63" s="92">
        <v>1</v>
      </c>
      <c r="I63" s="71">
        <v>1</v>
      </c>
      <c r="J63" s="92">
        <v>1</v>
      </c>
      <c r="K63" s="114">
        <v>1</v>
      </c>
    </row>
    <row r="64" spans="1:11" x14ac:dyDescent="0.2">
      <c r="A64" s="165" t="s">
        <v>320</v>
      </c>
      <c r="B64" s="48" t="s">
        <v>318</v>
      </c>
      <c r="C64" s="13" t="s">
        <v>260</v>
      </c>
      <c r="D64" s="40" t="s">
        <v>98</v>
      </c>
      <c r="E64" s="19"/>
      <c r="F64" s="19" t="s">
        <v>98</v>
      </c>
      <c r="G64" s="70">
        <v>4</v>
      </c>
      <c r="H64" s="91">
        <v>0</v>
      </c>
      <c r="I64" s="70">
        <v>0</v>
      </c>
      <c r="J64" s="91">
        <v>0</v>
      </c>
      <c r="K64" s="113">
        <v>0</v>
      </c>
    </row>
    <row r="65" spans="1:11" x14ac:dyDescent="0.2">
      <c r="A65" s="167"/>
      <c r="B65" s="48"/>
      <c r="C65" s="3" t="s">
        <v>261</v>
      </c>
      <c r="D65" s="39" t="s">
        <v>98</v>
      </c>
      <c r="E65" s="17"/>
      <c r="F65" s="17" t="s">
        <v>98</v>
      </c>
      <c r="G65" s="73">
        <v>4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167"/>
      <c r="B66" s="48"/>
      <c r="C66" s="3" t="s">
        <v>262</v>
      </c>
      <c r="D66" s="39" t="s">
        <v>98</v>
      </c>
      <c r="E66" s="17"/>
      <c r="F66" s="17" t="s">
        <v>98</v>
      </c>
      <c r="G66" s="73">
        <v>3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167"/>
      <c r="B67" s="48"/>
      <c r="C67" s="3" t="s">
        <v>263</v>
      </c>
      <c r="D67" s="39" t="s">
        <v>98</v>
      </c>
      <c r="E67" s="17"/>
      <c r="F67" s="17" t="s">
        <v>98</v>
      </c>
      <c r="G67" s="73">
        <v>3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167"/>
      <c r="B68" s="48"/>
      <c r="C68" s="3" t="s">
        <v>264</v>
      </c>
      <c r="D68" s="39" t="s">
        <v>98</v>
      </c>
      <c r="E68" s="17"/>
      <c r="F68" s="17" t="s">
        <v>98</v>
      </c>
      <c r="G68" s="73">
        <v>2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167"/>
      <c r="B69" s="48"/>
      <c r="C69" s="3" t="s">
        <v>265</v>
      </c>
      <c r="D69" s="39" t="s">
        <v>98</v>
      </c>
      <c r="E69" s="17"/>
      <c r="F69" s="17" t="s">
        <v>98</v>
      </c>
      <c r="G69" s="73">
        <v>2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167"/>
      <c r="B70" s="48"/>
      <c r="C70" s="3" t="s">
        <v>266</v>
      </c>
      <c r="D70" s="39" t="s">
        <v>98</v>
      </c>
      <c r="E70" s="17"/>
      <c r="F70" s="17" t="s">
        <v>98</v>
      </c>
      <c r="G70" s="73">
        <v>2</v>
      </c>
      <c r="H70" s="93">
        <v>0</v>
      </c>
      <c r="I70" s="73">
        <v>0</v>
      </c>
      <c r="J70" s="93">
        <v>0</v>
      </c>
      <c r="K70" s="115">
        <v>0</v>
      </c>
    </row>
    <row r="71" spans="1:11" x14ac:dyDescent="0.2">
      <c r="A71" s="167"/>
      <c r="B71" s="48"/>
      <c r="C71" s="3" t="s">
        <v>267</v>
      </c>
      <c r="D71" s="39" t="s">
        <v>98</v>
      </c>
      <c r="E71" s="17"/>
      <c r="F71" s="17" t="s">
        <v>98</v>
      </c>
      <c r="G71" s="73">
        <v>2</v>
      </c>
      <c r="H71" s="93">
        <v>0</v>
      </c>
      <c r="I71" s="73">
        <v>0</v>
      </c>
      <c r="J71" s="93">
        <v>0</v>
      </c>
      <c r="K71" s="115">
        <v>0</v>
      </c>
    </row>
    <row r="72" spans="1:11" x14ac:dyDescent="0.2">
      <c r="A72" s="167"/>
      <c r="B72" s="48"/>
      <c r="C72" s="3" t="s">
        <v>269</v>
      </c>
      <c r="D72" s="39" t="s">
        <v>98</v>
      </c>
      <c r="E72" s="17"/>
      <c r="F72" s="17" t="s">
        <v>98</v>
      </c>
      <c r="G72" s="73">
        <v>4</v>
      </c>
      <c r="H72" s="93">
        <v>0</v>
      </c>
      <c r="I72" s="73">
        <v>0</v>
      </c>
      <c r="J72" s="93">
        <v>0</v>
      </c>
      <c r="K72" s="115">
        <v>0</v>
      </c>
    </row>
    <row r="73" spans="1:11" x14ac:dyDescent="0.2">
      <c r="A73" s="167"/>
      <c r="B73" s="48"/>
      <c r="C73" s="3" t="s">
        <v>268</v>
      </c>
      <c r="D73" s="39" t="s">
        <v>98</v>
      </c>
      <c r="E73" s="17"/>
      <c r="F73" s="17" t="s">
        <v>98</v>
      </c>
      <c r="G73" s="73">
        <v>4</v>
      </c>
      <c r="H73" s="93">
        <v>0</v>
      </c>
      <c r="I73" s="73">
        <v>0</v>
      </c>
      <c r="J73" s="93">
        <v>0</v>
      </c>
      <c r="K73" s="115">
        <v>0</v>
      </c>
    </row>
    <row r="74" spans="1:11" x14ac:dyDescent="0.2">
      <c r="A74" s="167"/>
      <c r="B74" s="48"/>
      <c r="C74" s="3" t="s">
        <v>270</v>
      </c>
      <c r="D74" s="39" t="s">
        <v>98</v>
      </c>
      <c r="E74" s="17"/>
      <c r="F74" s="17" t="s">
        <v>98</v>
      </c>
      <c r="G74" s="73">
        <v>6</v>
      </c>
      <c r="H74" s="93">
        <v>0</v>
      </c>
      <c r="I74" s="73">
        <v>0</v>
      </c>
      <c r="J74" s="93">
        <v>0</v>
      </c>
      <c r="K74" s="115">
        <v>0</v>
      </c>
    </row>
    <row r="75" spans="1:11" x14ac:dyDescent="0.2">
      <c r="A75" s="167"/>
      <c r="B75" s="48"/>
      <c r="C75" s="3" t="s">
        <v>271</v>
      </c>
      <c r="D75" s="39" t="s">
        <v>98</v>
      </c>
      <c r="E75" s="17"/>
      <c r="F75" s="17" t="s">
        <v>98</v>
      </c>
      <c r="G75" s="73">
        <v>6</v>
      </c>
      <c r="H75" s="93">
        <v>0</v>
      </c>
      <c r="I75" s="73">
        <v>0</v>
      </c>
      <c r="J75" s="93">
        <v>0</v>
      </c>
      <c r="K75" s="115">
        <v>0</v>
      </c>
    </row>
    <row r="76" spans="1:11" x14ac:dyDescent="0.2">
      <c r="A76" s="167"/>
      <c r="B76" s="48"/>
      <c r="C76" s="3" t="s">
        <v>272</v>
      </c>
      <c r="D76" s="39" t="s">
        <v>98</v>
      </c>
      <c r="E76" s="17"/>
      <c r="F76" s="17" t="s">
        <v>98</v>
      </c>
      <c r="G76" s="73">
        <v>6</v>
      </c>
      <c r="H76" s="93">
        <v>0</v>
      </c>
      <c r="I76" s="73">
        <v>0</v>
      </c>
      <c r="J76" s="93">
        <v>0</v>
      </c>
      <c r="K76" s="115">
        <v>0</v>
      </c>
    </row>
    <row r="77" spans="1:11" x14ac:dyDescent="0.2">
      <c r="A77" s="167"/>
      <c r="B77" s="48"/>
      <c r="C77" s="11" t="s">
        <v>273</v>
      </c>
      <c r="D77" s="44" t="s">
        <v>98</v>
      </c>
      <c r="E77" s="18"/>
      <c r="F77" s="18" t="s">
        <v>98</v>
      </c>
      <c r="G77" s="145">
        <v>6</v>
      </c>
      <c r="H77" s="146">
        <v>0</v>
      </c>
      <c r="I77" s="145">
        <v>0</v>
      </c>
      <c r="J77" s="146">
        <v>0</v>
      </c>
      <c r="K77" s="147">
        <v>0</v>
      </c>
    </row>
    <row r="78" spans="1:11" ht="13.5" thickBot="1" x14ac:dyDescent="0.25">
      <c r="A78" s="150"/>
      <c r="B78" s="49"/>
      <c r="C78" s="225" t="s">
        <v>460</v>
      </c>
      <c r="D78" s="41" t="s">
        <v>98</v>
      </c>
      <c r="E78" s="31"/>
      <c r="F78" s="31" t="s">
        <v>98</v>
      </c>
      <c r="G78" s="71">
        <v>52</v>
      </c>
      <c r="H78" s="92">
        <v>52</v>
      </c>
      <c r="I78" s="71">
        <v>52</v>
      </c>
      <c r="J78" s="92">
        <v>52</v>
      </c>
      <c r="K78" s="114">
        <v>52</v>
      </c>
    </row>
    <row r="79" spans="1:11" x14ac:dyDescent="0.2">
      <c r="A79" s="48" t="s">
        <v>321</v>
      </c>
      <c r="B79" s="48" t="s">
        <v>318</v>
      </c>
      <c r="C79" s="13" t="s">
        <v>260</v>
      </c>
      <c r="D79" s="40" t="s">
        <v>110</v>
      </c>
      <c r="E79" s="19"/>
      <c r="F79" s="19" t="s">
        <v>29</v>
      </c>
      <c r="G79" s="82">
        <f>G64*G49*G5</f>
        <v>5683.2000000000007</v>
      </c>
      <c r="H79" s="102">
        <f>H64*H49*H5</f>
        <v>0</v>
      </c>
      <c r="I79" s="82">
        <f>I64*I49*I5</f>
        <v>0</v>
      </c>
      <c r="J79" s="102">
        <f>J64*J49*J5</f>
        <v>0</v>
      </c>
      <c r="K79" s="121">
        <f>K64*K49*K5</f>
        <v>0</v>
      </c>
    </row>
    <row r="80" spans="1:11" x14ac:dyDescent="0.2">
      <c r="A80" s="48"/>
      <c r="B80" s="48"/>
      <c r="C80" s="3" t="s">
        <v>261</v>
      </c>
      <c r="D80" s="39" t="s">
        <v>49</v>
      </c>
      <c r="E80" s="17"/>
      <c r="F80" s="17" t="s">
        <v>29</v>
      </c>
      <c r="G80" s="75">
        <f>G65*G50*G13</f>
        <v>14400</v>
      </c>
      <c r="H80" s="95">
        <f>H65*H50*H13</f>
        <v>0</v>
      </c>
      <c r="I80" s="75">
        <f>I65*I50*I13</f>
        <v>0</v>
      </c>
      <c r="J80" s="95">
        <f>J65*J50*J13</f>
        <v>0</v>
      </c>
      <c r="K80" s="117">
        <f>K65*K50*K13</f>
        <v>0</v>
      </c>
    </row>
    <row r="81" spans="1:11" x14ac:dyDescent="0.2">
      <c r="A81" s="48"/>
      <c r="B81" s="48"/>
      <c r="C81" s="3" t="s">
        <v>262</v>
      </c>
      <c r="D81" s="39" t="s">
        <v>110</v>
      </c>
      <c r="E81" s="17"/>
      <c r="F81" s="17" t="s">
        <v>29</v>
      </c>
      <c r="G81" s="75">
        <f>G66*G51*G5</f>
        <v>4795.2000000000007</v>
      </c>
      <c r="H81" s="95">
        <f>H66*H51*H5</f>
        <v>0</v>
      </c>
      <c r="I81" s="75">
        <f>I66*I51*I5</f>
        <v>0</v>
      </c>
      <c r="J81" s="95">
        <f>J66*J51*J5</f>
        <v>0</v>
      </c>
      <c r="K81" s="117">
        <f>K66*K51*K5</f>
        <v>0</v>
      </c>
    </row>
    <row r="82" spans="1:11" x14ac:dyDescent="0.2">
      <c r="A82" s="48"/>
      <c r="B82" s="48"/>
      <c r="C82" s="3" t="s">
        <v>263</v>
      </c>
      <c r="D82" s="39" t="s">
        <v>49</v>
      </c>
      <c r="E82" s="17"/>
      <c r="F82" s="17" t="s">
        <v>29</v>
      </c>
      <c r="G82" s="75">
        <f>G67*G52*G13</f>
        <v>10800</v>
      </c>
      <c r="H82" s="95">
        <f>H67*H52*H13</f>
        <v>0</v>
      </c>
      <c r="I82" s="75">
        <f>I67*I52*I13</f>
        <v>0</v>
      </c>
      <c r="J82" s="95">
        <f>J67*J52*J13</f>
        <v>0</v>
      </c>
      <c r="K82" s="117">
        <f>K67*K52*K13</f>
        <v>0</v>
      </c>
    </row>
    <row r="83" spans="1:11" x14ac:dyDescent="0.2">
      <c r="A83" s="48"/>
      <c r="B83" s="48"/>
      <c r="C83" s="3" t="s">
        <v>264</v>
      </c>
      <c r="D83" s="39" t="s">
        <v>110</v>
      </c>
      <c r="E83" s="17"/>
      <c r="F83" s="17" t="s">
        <v>29</v>
      </c>
      <c r="G83" s="75">
        <f>G68*G53*G5</f>
        <v>3196.8</v>
      </c>
      <c r="H83" s="95">
        <f>H68*H53*H5</f>
        <v>0</v>
      </c>
      <c r="I83" s="75">
        <f>I68*I53*I5</f>
        <v>0</v>
      </c>
      <c r="J83" s="95">
        <f>J68*J53*J5</f>
        <v>0</v>
      </c>
      <c r="K83" s="117">
        <f>K68*K53*K5</f>
        <v>0</v>
      </c>
    </row>
    <row r="84" spans="1:11" x14ac:dyDescent="0.2">
      <c r="A84" s="48"/>
      <c r="B84" s="48"/>
      <c r="C84" s="3" t="s">
        <v>265</v>
      </c>
      <c r="D84" s="39" t="s">
        <v>49</v>
      </c>
      <c r="E84" s="17"/>
      <c r="F84" s="17" t="s">
        <v>29</v>
      </c>
      <c r="G84" s="75">
        <f>G69*G56*G13</f>
        <v>1800</v>
      </c>
      <c r="H84" s="95">
        <f>H69*H56*H13</f>
        <v>0</v>
      </c>
      <c r="I84" s="75">
        <f>I69*I56*I13</f>
        <v>0</v>
      </c>
      <c r="J84" s="95">
        <f>J69*J56*J13</f>
        <v>0</v>
      </c>
      <c r="K84" s="117">
        <f>K69*K56*K13</f>
        <v>0</v>
      </c>
    </row>
    <row r="85" spans="1:11" x14ac:dyDescent="0.2">
      <c r="A85" s="48"/>
      <c r="B85" s="48"/>
      <c r="C85" s="3" t="s">
        <v>266</v>
      </c>
      <c r="D85" s="39" t="s">
        <v>110</v>
      </c>
      <c r="E85" s="17"/>
      <c r="F85" s="17" t="s">
        <v>29</v>
      </c>
      <c r="G85" s="75">
        <f>G70*G55*G5</f>
        <v>888</v>
      </c>
      <c r="H85" s="95">
        <f>H70*H55*H5</f>
        <v>0</v>
      </c>
      <c r="I85" s="75">
        <f>I70*I55*I5</f>
        <v>0</v>
      </c>
      <c r="J85" s="95">
        <f>J70*J55*J5</f>
        <v>0</v>
      </c>
      <c r="K85" s="117">
        <f>K70*K55*K5</f>
        <v>0</v>
      </c>
    </row>
    <row r="86" spans="1:11" x14ac:dyDescent="0.2">
      <c r="A86" s="48"/>
      <c r="B86" s="48"/>
      <c r="C86" s="3" t="s">
        <v>267</v>
      </c>
      <c r="D86" s="39" t="s">
        <v>49</v>
      </c>
      <c r="E86" s="17"/>
      <c r="F86" s="17" t="s">
        <v>29</v>
      </c>
      <c r="G86" s="75">
        <f>G71*G56*G13</f>
        <v>1800</v>
      </c>
      <c r="H86" s="95">
        <f>H71*H56*H13</f>
        <v>0</v>
      </c>
      <c r="I86" s="75">
        <f>I71*I56*I13</f>
        <v>0</v>
      </c>
      <c r="J86" s="95">
        <f>J71*J56*J13</f>
        <v>0</v>
      </c>
      <c r="K86" s="117">
        <f>K71*K56*K13</f>
        <v>0</v>
      </c>
    </row>
    <row r="87" spans="1:11" x14ac:dyDescent="0.2">
      <c r="A87" s="48"/>
      <c r="B87" s="48"/>
      <c r="C87" s="3" t="s">
        <v>269</v>
      </c>
      <c r="D87" s="39" t="s">
        <v>110</v>
      </c>
      <c r="E87" s="17"/>
      <c r="F87" s="17" t="s">
        <v>29</v>
      </c>
      <c r="G87" s="75">
        <f>G72*G57*G5</f>
        <v>16694.400000000001</v>
      </c>
      <c r="H87" s="95">
        <f>H72*H57*H5</f>
        <v>0</v>
      </c>
      <c r="I87" s="75">
        <f>I72*I57*I5</f>
        <v>0</v>
      </c>
      <c r="J87" s="95">
        <f>J72*J57*J5</f>
        <v>0</v>
      </c>
      <c r="K87" s="117">
        <f>K72*K57*K5</f>
        <v>0</v>
      </c>
    </row>
    <row r="88" spans="1:11" x14ac:dyDescent="0.2">
      <c r="A88" s="48"/>
      <c r="B88" s="48"/>
      <c r="C88" s="3" t="s">
        <v>268</v>
      </c>
      <c r="D88" s="39" t="s">
        <v>49</v>
      </c>
      <c r="E88" s="17"/>
      <c r="F88" s="17" t="s">
        <v>29</v>
      </c>
      <c r="G88" s="75">
        <f>G73*G58*G13</f>
        <v>7200</v>
      </c>
      <c r="H88" s="95">
        <f>H73*H58*H13</f>
        <v>0</v>
      </c>
      <c r="I88" s="75">
        <f>I73*I58*I13</f>
        <v>0</v>
      </c>
      <c r="J88" s="95">
        <f>J73*J58*J13</f>
        <v>0</v>
      </c>
      <c r="K88" s="117">
        <f>K73*K58*K13</f>
        <v>0</v>
      </c>
    </row>
    <row r="89" spans="1:11" x14ac:dyDescent="0.2">
      <c r="A89" s="48"/>
      <c r="B89" s="48"/>
      <c r="C89" s="3" t="s">
        <v>270</v>
      </c>
      <c r="D89" s="39" t="s">
        <v>110</v>
      </c>
      <c r="E89" s="17"/>
      <c r="F89" s="17" t="s">
        <v>29</v>
      </c>
      <c r="G89" s="75">
        <f>G74*G59*G5</f>
        <v>15984</v>
      </c>
      <c r="H89" s="95">
        <f>H74*H59*H5</f>
        <v>0</v>
      </c>
      <c r="I89" s="75">
        <f>I74*I59*I5</f>
        <v>0</v>
      </c>
      <c r="J89" s="95">
        <f>J74*J59*J5</f>
        <v>0</v>
      </c>
      <c r="K89" s="117">
        <f>K74*K59*K5</f>
        <v>0</v>
      </c>
    </row>
    <row r="90" spans="1:11" x14ac:dyDescent="0.2">
      <c r="A90" s="48"/>
      <c r="B90" s="48"/>
      <c r="C90" s="3" t="s">
        <v>271</v>
      </c>
      <c r="D90" s="39" t="s">
        <v>49</v>
      </c>
      <c r="E90" s="17"/>
      <c r="F90" s="17" t="s">
        <v>29</v>
      </c>
      <c r="G90" s="75">
        <f>G75*G60*G13</f>
        <v>43200</v>
      </c>
      <c r="H90" s="95">
        <f>H75*H60*H13</f>
        <v>0</v>
      </c>
      <c r="I90" s="75">
        <f>I75*I60*I13</f>
        <v>0</v>
      </c>
      <c r="J90" s="95">
        <f>J75*J60*J13</f>
        <v>0</v>
      </c>
      <c r="K90" s="117">
        <f>K75*K60*K13</f>
        <v>0</v>
      </c>
    </row>
    <row r="91" spans="1:11" x14ac:dyDescent="0.2">
      <c r="A91" s="48"/>
      <c r="B91" s="48"/>
      <c r="C91" s="3" t="s">
        <v>272</v>
      </c>
      <c r="D91" s="39" t="s">
        <v>110</v>
      </c>
      <c r="E91" s="17"/>
      <c r="F91" s="17" t="s">
        <v>29</v>
      </c>
      <c r="G91" s="75">
        <f>G76*G61*G5</f>
        <v>15984</v>
      </c>
      <c r="H91" s="95">
        <f>H76*H61*H5</f>
        <v>0</v>
      </c>
      <c r="I91" s="75">
        <f>I76*I61*I5</f>
        <v>0</v>
      </c>
      <c r="J91" s="95">
        <f>J76*J61*J5</f>
        <v>0</v>
      </c>
      <c r="K91" s="117">
        <f>K76*K61*K5</f>
        <v>0</v>
      </c>
    </row>
    <row r="92" spans="1:11" x14ac:dyDescent="0.2">
      <c r="A92" s="48"/>
      <c r="B92" s="48"/>
      <c r="C92" s="3" t="s">
        <v>273</v>
      </c>
      <c r="D92" s="39" t="s">
        <v>49</v>
      </c>
      <c r="E92" s="17"/>
      <c r="F92" s="17" t="s">
        <v>29</v>
      </c>
      <c r="G92" s="75">
        <f>G77*G62*G13</f>
        <v>43200</v>
      </c>
      <c r="H92" s="95">
        <f>H77*H62*H13</f>
        <v>0</v>
      </c>
      <c r="I92" s="75">
        <f>I77*I62*I13</f>
        <v>0</v>
      </c>
      <c r="J92" s="95">
        <f>J77*J62*J13</f>
        <v>0</v>
      </c>
      <c r="K92" s="117">
        <f>K77*K62*K13</f>
        <v>0</v>
      </c>
    </row>
    <row r="93" spans="1:11" x14ac:dyDescent="0.2">
      <c r="A93" s="48"/>
      <c r="B93" s="48"/>
      <c r="C93" s="11" t="s">
        <v>460</v>
      </c>
      <c r="D93" s="43" t="s">
        <v>110</v>
      </c>
      <c r="E93" s="18"/>
      <c r="F93" s="18" t="s">
        <v>29</v>
      </c>
      <c r="G93" s="76">
        <f>G78*G63*G7</f>
        <v>100000.00000000001</v>
      </c>
      <c r="H93" s="96">
        <f t="shared" ref="H93:K93" si="18">H78*H63*H7</f>
        <v>101500</v>
      </c>
      <c r="I93" s="76">
        <f t="shared" si="18"/>
        <v>103022.49999999999</v>
      </c>
      <c r="J93" s="96">
        <f t="shared" si="18"/>
        <v>104567.83749999998</v>
      </c>
      <c r="K93" s="175">
        <f t="shared" si="18"/>
        <v>106136.35506249996</v>
      </c>
    </row>
    <row r="94" spans="1:11" x14ac:dyDescent="0.2">
      <c r="A94" s="48"/>
      <c r="B94" s="48"/>
      <c r="C94" s="11" t="s">
        <v>274</v>
      </c>
      <c r="D94" s="39" t="s">
        <v>98</v>
      </c>
      <c r="E94" s="18"/>
      <c r="F94" s="18" t="s">
        <v>98</v>
      </c>
      <c r="G94" s="76">
        <f>SUM(G79:G80)</f>
        <v>20083.2</v>
      </c>
      <c r="H94" s="96">
        <f t="shared" ref="H94:J94" si="19">SUM(H79:H80)</f>
        <v>0</v>
      </c>
      <c r="I94" s="76">
        <f t="shared" si="19"/>
        <v>0</v>
      </c>
      <c r="J94" s="96">
        <f t="shared" si="19"/>
        <v>0</v>
      </c>
      <c r="K94" s="175">
        <f>SUM(K79:K80)</f>
        <v>0</v>
      </c>
    </row>
    <row r="95" spans="1:11" x14ac:dyDescent="0.2">
      <c r="A95" s="48"/>
      <c r="B95" s="168"/>
      <c r="C95" s="3" t="s">
        <v>275</v>
      </c>
      <c r="D95" s="39" t="s">
        <v>98</v>
      </c>
      <c r="E95" s="17"/>
      <c r="F95" s="17" t="s">
        <v>98</v>
      </c>
      <c r="G95" s="75">
        <f>SUM(G81:G82)</f>
        <v>15595.2</v>
      </c>
      <c r="H95" s="95">
        <f t="shared" ref="H95:J95" si="20">SUM(H81:H82)</f>
        <v>0</v>
      </c>
      <c r="I95" s="75">
        <f t="shared" si="20"/>
        <v>0</v>
      </c>
      <c r="J95" s="95">
        <f t="shared" si="20"/>
        <v>0</v>
      </c>
      <c r="K95" s="117">
        <f>SUM(K81:K82)</f>
        <v>0</v>
      </c>
    </row>
    <row r="96" spans="1:11" x14ac:dyDescent="0.2">
      <c r="A96" s="48"/>
      <c r="B96" s="168"/>
      <c r="C96" s="3" t="s">
        <v>276</v>
      </c>
      <c r="D96" s="39" t="s">
        <v>98</v>
      </c>
      <c r="E96" s="17"/>
      <c r="F96" s="17" t="s">
        <v>98</v>
      </c>
      <c r="G96" s="75">
        <f>SUM(G83:G84)</f>
        <v>4996.8</v>
      </c>
      <c r="H96" s="95">
        <f t="shared" ref="H96:J96" si="21">SUM(H83:H84)</f>
        <v>0</v>
      </c>
      <c r="I96" s="75">
        <f t="shared" si="21"/>
        <v>0</v>
      </c>
      <c r="J96" s="95">
        <f t="shared" si="21"/>
        <v>0</v>
      </c>
      <c r="K96" s="117">
        <f>SUM(K83:K84)</f>
        <v>0</v>
      </c>
    </row>
    <row r="97" spans="1:11" x14ac:dyDescent="0.2">
      <c r="A97" s="48"/>
      <c r="B97" s="168"/>
      <c r="C97" s="3" t="s">
        <v>277</v>
      </c>
      <c r="D97" s="39" t="s">
        <v>98</v>
      </c>
      <c r="E97" s="17"/>
      <c r="F97" s="17" t="s">
        <v>98</v>
      </c>
      <c r="G97" s="75">
        <f>SUM(G85:G86)</f>
        <v>2688</v>
      </c>
      <c r="H97" s="95">
        <f t="shared" ref="H97:J97" si="22">SUM(H85:H86)</f>
        <v>0</v>
      </c>
      <c r="I97" s="75">
        <f t="shared" si="22"/>
        <v>0</v>
      </c>
      <c r="J97" s="95">
        <f t="shared" si="22"/>
        <v>0</v>
      </c>
      <c r="K97" s="117">
        <f>SUM(K85:K86)</f>
        <v>0</v>
      </c>
    </row>
    <row r="98" spans="1:11" x14ac:dyDescent="0.2">
      <c r="A98" s="48"/>
      <c r="B98" s="168"/>
      <c r="C98" s="3" t="s">
        <v>278</v>
      </c>
      <c r="D98" s="39" t="s">
        <v>98</v>
      </c>
      <c r="E98" s="17"/>
      <c r="F98" s="17" t="s">
        <v>98</v>
      </c>
      <c r="G98" s="75">
        <f>SUM(G87:G88)</f>
        <v>23894.400000000001</v>
      </c>
      <c r="H98" s="95">
        <f t="shared" ref="H98:J98" si="23">SUM(H87:H88)</f>
        <v>0</v>
      </c>
      <c r="I98" s="75">
        <f t="shared" si="23"/>
        <v>0</v>
      </c>
      <c r="J98" s="95">
        <f t="shared" si="23"/>
        <v>0</v>
      </c>
      <c r="K98" s="117">
        <f>SUM(K87:K88)</f>
        <v>0</v>
      </c>
    </row>
    <row r="99" spans="1:11" x14ac:dyDescent="0.2">
      <c r="A99" s="48"/>
      <c r="B99" s="168"/>
      <c r="C99" s="3" t="s">
        <v>279</v>
      </c>
      <c r="D99" s="39" t="s">
        <v>98</v>
      </c>
      <c r="E99" s="17"/>
      <c r="F99" s="17" t="s">
        <v>98</v>
      </c>
      <c r="G99" s="75">
        <f>SUM(G89:G90)</f>
        <v>59184</v>
      </c>
      <c r="H99" s="95">
        <f t="shared" ref="H99:J99" si="24">SUM(H89:H90)</f>
        <v>0</v>
      </c>
      <c r="I99" s="75">
        <f t="shared" si="24"/>
        <v>0</v>
      </c>
      <c r="J99" s="95">
        <f t="shared" si="24"/>
        <v>0</v>
      </c>
      <c r="K99" s="117">
        <f>SUM(K89:K90)</f>
        <v>0</v>
      </c>
    </row>
    <row r="100" spans="1:11" x14ac:dyDescent="0.2">
      <c r="A100" s="48"/>
      <c r="B100" s="168"/>
      <c r="C100" s="11" t="s">
        <v>280</v>
      </c>
      <c r="D100" s="44" t="s">
        <v>98</v>
      </c>
      <c r="E100" s="18"/>
      <c r="F100" s="18" t="s">
        <v>98</v>
      </c>
      <c r="G100" s="76">
        <f>SUM(G91:G92)</f>
        <v>59184</v>
      </c>
      <c r="H100" s="96">
        <f t="shared" ref="H100:J100" si="25">SUM(H91:H92)</f>
        <v>0</v>
      </c>
      <c r="I100" s="76">
        <f t="shared" si="25"/>
        <v>0</v>
      </c>
      <c r="J100" s="96">
        <f t="shared" si="25"/>
        <v>0</v>
      </c>
      <c r="K100" s="175">
        <f>SUM(K91:K92)</f>
        <v>0</v>
      </c>
    </row>
    <row r="101" spans="1:11" x14ac:dyDescent="0.2">
      <c r="A101" s="48"/>
      <c r="B101" s="168"/>
      <c r="C101" s="11" t="s">
        <v>460</v>
      </c>
      <c r="D101" s="44" t="s">
        <v>98</v>
      </c>
      <c r="E101" s="18"/>
      <c r="F101" s="18" t="s">
        <v>98</v>
      </c>
      <c r="G101" s="76">
        <f>G93</f>
        <v>100000.00000000001</v>
      </c>
      <c r="H101" s="96">
        <f>H93</f>
        <v>101500</v>
      </c>
      <c r="I101" s="76">
        <f>I93</f>
        <v>103022.49999999999</v>
      </c>
      <c r="J101" s="96">
        <f>J93</f>
        <v>104567.83749999998</v>
      </c>
      <c r="K101" s="175">
        <f>K93</f>
        <v>106136.35506249996</v>
      </c>
    </row>
    <row r="102" spans="1:11" s="50" customFormat="1" ht="13.5" thickBot="1" x14ac:dyDescent="0.25">
      <c r="A102" s="150"/>
      <c r="B102" s="49"/>
      <c r="C102" s="52" t="s">
        <v>48</v>
      </c>
      <c r="D102" s="53" t="s">
        <v>98</v>
      </c>
      <c r="E102" s="54"/>
      <c r="F102" s="54" t="s">
        <v>98</v>
      </c>
      <c r="G102" s="55">
        <f>SUM(G94:G101)</f>
        <v>285625.60000000003</v>
      </c>
      <c r="H102" s="55">
        <f t="shared" ref="H102:J102" si="26">SUM(H94:H101)</f>
        <v>101500</v>
      </c>
      <c r="I102" s="55">
        <f t="shared" si="26"/>
        <v>103022.49999999999</v>
      </c>
      <c r="J102" s="55">
        <f t="shared" si="26"/>
        <v>104567.83749999998</v>
      </c>
      <c r="K102" s="56">
        <f>SUM(K94:K101)</f>
        <v>106136.35506249996</v>
      </c>
    </row>
    <row r="103" spans="1:11" x14ac:dyDescent="0.2">
      <c r="B103" s="169" t="s">
        <v>322</v>
      </c>
      <c r="C103" s="21" t="s">
        <v>42</v>
      </c>
      <c r="D103" s="38" t="s">
        <v>304</v>
      </c>
      <c r="E103" s="22"/>
      <c r="F103" s="22" t="s">
        <v>29</v>
      </c>
      <c r="G103" s="77">
        <v>0</v>
      </c>
      <c r="H103" s="97">
        <v>0</v>
      </c>
      <c r="I103" s="77">
        <v>0</v>
      </c>
      <c r="J103" s="97">
        <v>0</v>
      </c>
      <c r="K103" s="124">
        <v>0</v>
      </c>
    </row>
    <row r="104" spans="1:11" x14ac:dyDescent="0.2">
      <c r="B104" s="48"/>
      <c r="C104" s="3" t="s">
        <v>44</v>
      </c>
      <c r="D104" s="39" t="s">
        <v>303</v>
      </c>
      <c r="E104" s="17"/>
      <c r="F104" s="17" t="s">
        <v>29</v>
      </c>
      <c r="G104" s="176">
        <f>(G43*(G18+G19))+(G44*G17)+(G45*(G18+G19))+(G46*G17)+(G47*G18)+(G48*G17)</f>
        <v>20874</v>
      </c>
      <c r="H104" s="98">
        <f>(H43*(H18+H19))+(H44*H17)+(H45*(H18+H19))+(H46*H17)+(H47*H18)+(H48*H17)</f>
        <v>6377.244999999999</v>
      </c>
      <c r="I104" s="78">
        <f>(I43*(I18+I19))+(I44*I17)+(I45*(I18+I19))+(I46*I17)+(I47*I18)+(I48*I17)</f>
        <v>6472.9036749999987</v>
      </c>
      <c r="J104" s="98">
        <f>(J43*(J18+J19))+(J44*J17)+(J45*(J18+J19))+(J46*J17)+(J47*J18)+(J48*J17)</f>
        <v>6569.9972301249982</v>
      </c>
      <c r="K104" s="118">
        <f>(K43*(K18+K19))+(K44*K17)+(K45*(K18+K19))+(K46*K17)+(K47*K18)+(K48*K17)</f>
        <v>6668.547188576872</v>
      </c>
    </row>
    <row r="105" spans="1:11" x14ac:dyDescent="0.2">
      <c r="B105" s="48"/>
      <c r="C105" s="14" t="s">
        <v>45</v>
      </c>
      <c r="D105" s="149" t="s">
        <v>304</v>
      </c>
      <c r="E105" s="25"/>
      <c r="F105" s="25" t="s">
        <v>29</v>
      </c>
      <c r="G105" s="78">
        <v>0</v>
      </c>
      <c r="H105" s="98">
        <v>0</v>
      </c>
      <c r="I105" s="78">
        <v>0</v>
      </c>
      <c r="J105" s="98">
        <v>0</v>
      </c>
      <c r="K105" s="118">
        <v>0</v>
      </c>
    </row>
    <row r="106" spans="1:11" x14ac:dyDescent="0.2">
      <c r="B106" s="48"/>
      <c r="C106" s="14" t="s">
        <v>46</v>
      </c>
      <c r="D106" s="149" t="s">
        <v>304</v>
      </c>
      <c r="E106" s="25"/>
      <c r="F106" s="25" t="s">
        <v>29</v>
      </c>
      <c r="G106" s="78">
        <v>0</v>
      </c>
      <c r="H106" s="98">
        <v>0</v>
      </c>
      <c r="I106" s="78">
        <v>0</v>
      </c>
      <c r="J106" s="98">
        <v>0</v>
      </c>
      <c r="K106" s="118">
        <v>0</v>
      </c>
    </row>
    <row r="107" spans="1:11" x14ac:dyDescent="0.2">
      <c r="B107" s="48"/>
      <c r="C107" s="151" t="s">
        <v>47</v>
      </c>
      <c r="D107" s="149" t="s">
        <v>304</v>
      </c>
      <c r="E107" s="152"/>
      <c r="F107" s="25" t="s">
        <v>29</v>
      </c>
      <c r="G107" s="79">
        <v>0</v>
      </c>
      <c r="H107" s="100">
        <v>0</v>
      </c>
      <c r="I107" s="79">
        <v>0</v>
      </c>
      <c r="J107" s="100">
        <v>0</v>
      </c>
      <c r="K107" s="119">
        <v>0</v>
      </c>
    </row>
    <row r="108" spans="1:11" s="50" customFormat="1" ht="13.5" thickBot="1" x14ac:dyDescent="0.25">
      <c r="B108" s="51"/>
      <c r="C108" s="52" t="s">
        <v>48</v>
      </c>
      <c r="D108" s="57" t="s">
        <v>98</v>
      </c>
      <c r="E108" s="54"/>
      <c r="F108" s="54" t="s">
        <v>98</v>
      </c>
      <c r="G108" s="61">
        <f>SUM(G103:G107)</f>
        <v>20874</v>
      </c>
      <c r="H108" s="61">
        <f>SUM(H103:H107)</f>
        <v>6377.244999999999</v>
      </c>
      <c r="I108" s="61">
        <f>SUM(I103:I107)</f>
        <v>6472.9036749999987</v>
      </c>
      <c r="J108" s="61">
        <f>SUM(J103:J107)</f>
        <v>6569.9972301249982</v>
      </c>
      <c r="K108" s="62">
        <f>SUM(K103:K107)</f>
        <v>6668.547188576872</v>
      </c>
    </row>
    <row r="109" spans="1:11" x14ac:dyDescent="0.2">
      <c r="B109" s="169" t="s">
        <v>323</v>
      </c>
      <c r="C109" s="35" t="s">
        <v>50</v>
      </c>
      <c r="D109" s="42" t="s">
        <v>96</v>
      </c>
      <c r="E109" s="22"/>
      <c r="F109" s="22" t="s">
        <v>29</v>
      </c>
      <c r="G109" s="80">
        <v>0</v>
      </c>
      <c r="H109" s="99">
        <v>0</v>
      </c>
      <c r="I109" s="80">
        <v>0</v>
      </c>
      <c r="J109" s="99">
        <v>0</v>
      </c>
      <c r="K109" s="125">
        <v>0</v>
      </c>
    </row>
    <row r="110" spans="1:11" x14ac:dyDescent="0.2">
      <c r="B110" s="48"/>
      <c r="C110" s="14" t="s">
        <v>76</v>
      </c>
      <c r="D110" s="39" t="s">
        <v>96</v>
      </c>
      <c r="E110" s="17"/>
      <c r="F110" s="17" t="s">
        <v>29</v>
      </c>
      <c r="G110" s="78">
        <v>0</v>
      </c>
      <c r="H110" s="98">
        <v>0</v>
      </c>
      <c r="I110" s="78">
        <v>0</v>
      </c>
      <c r="J110" s="98">
        <v>0</v>
      </c>
      <c r="K110" s="118">
        <v>0</v>
      </c>
    </row>
    <row r="111" spans="1:11" x14ac:dyDescent="0.2">
      <c r="B111" s="48"/>
      <c r="C111" s="14" t="s">
        <v>51</v>
      </c>
      <c r="D111" s="39" t="s">
        <v>96</v>
      </c>
      <c r="E111" s="17"/>
      <c r="F111" s="17" t="s">
        <v>29</v>
      </c>
      <c r="G111" s="78">
        <v>0</v>
      </c>
      <c r="H111" s="98">
        <v>0</v>
      </c>
      <c r="I111" s="78">
        <v>0</v>
      </c>
      <c r="J111" s="98">
        <v>0</v>
      </c>
      <c r="K111" s="118">
        <v>0</v>
      </c>
    </row>
    <row r="112" spans="1:11" x14ac:dyDescent="0.2">
      <c r="B112" s="48"/>
      <c r="C112" s="14" t="s">
        <v>52</v>
      </c>
      <c r="D112" s="39" t="s">
        <v>96</v>
      </c>
      <c r="E112" s="17"/>
      <c r="F112" s="17" t="s">
        <v>29</v>
      </c>
      <c r="G112" s="78">
        <v>0</v>
      </c>
      <c r="H112" s="98">
        <v>0</v>
      </c>
      <c r="I112" s="78">
        <v>0</v>
      </c>
      <c r="J112" s="98">
        <v>0</v>
      </c>
      <c r="K112" s="118">
        <v>0</v>
      </c>
    </row>
    <row r="113" spans="2:17" s="50" customFormat="1" ht="13.5" thickBot="1" x14ac:dyDescent="0.25">
      <c r="B113" s="51"/>
      <c r="C113" s="52" t="s">
        <v>48</v>
      </c>
      <c r="D113" s="53" t="s">
        <v>98</v>
      </c>
      <c r="E113" s="54"/>
      <c r="F113" s="54" t="s">
        <v>98</v>
      </c>
      <c r="G113" s="61">
        <f>SUM(G109:G112)</f>
        <v>0</v>
      </c>
      <c r="H113" s="61">
        <f>SUM(H109:H112)</f>
        <v>0</v>
      </c>
      <c r="I113" s="61">
        <f>SUM(I109:I112)</f>
        <v>0</v>
      </c>
      <c r="J113" s="61">
        <f>SUM(J109:J112)</f>
        <v>0</v>
      </c>
      <c r="K113" s="62">
        <f>SUM(K109:K112)</f>
        <v>0</v>
      </c>
    </row>
    <row r="115" spans="2:17" ht="13.5" thickBot="1" x14ac:dyDescent="0.25"/>
    <row r="116" spans="2:17" s="50" customFormat="1" x14ac:dyDescent="0.2">
      <c r="C116" s="126" t="s">
        <v>120</v>
      </c>
      <c r="D116" s="127"/>
      <c r="E116" s="128"/>
      <c r="F116" s="129"/>
      <c r="G116" s="134">
        <f>SUM(G102+G108+G113)</f>
        <v>306499.60000000003</v>
      </c>
      <c r="H116" s="134">
        <f>SUM(H102+H108+H113)</f>
        <v>107877.245</v>
      </c>
      <c r="I116" s="134">
        <f>SUM(I102+I108+I113)</f>
        <v>109495.40367499998</v>
      </c>
      <c r="J116" s="134">
        <f>SUM(J102+J108+J113)</f>
        <v>111137.83473012497</v>
      </c>
      <c r="K116" s="135">
        <f>SUM(K102+K108+K113)</f>
        <v>112804.90225107684</v>
      </c>
      <c r="M116" s="1"/>
      <c r="N116" s="1"/>
      <c r="O116" s="1"/>
      <c r="P116" s="1"/>
      <c r="Q116" s="1"/>
    </row>
    <row r="117" spans="2:17" ht="13.5" thickBot="1" x14ac:dyDescent="0.25">
      <c r="C117" s="130" t="s">
        <v>121</v>
      </c>
      <c r="D117" s="131"/>
      <c r="E117" s="132"/>
      <c r="F117" s="133"/>
      <c r="G117" s="136">
        <f>G116</f>
        <v>306499.60000000003</v>
      </c>
      <c r="H117" s="136">
        <f>G117+H116</f>
        <v>414376.84500000003</v>
      </c>
      <c r="I117" s="136">
        <f>H117+I116</f>
        <v>523872.24867500004</v>
      </c>
      <c r="J117" s="136">
        <f>I117+J116</f>
        <v>635010.08340512495</v>
      </c>
      <c r="K117" s="137">
        <f>J117+K116</f>
        <v>747814.98565620184</v>
      </c>
    </row>
    <row r="118" spans="2:17" x14ac:dyDescent="0.2">
      <c r="C118" s="32" t="s">
        <v>110</v>
      </c>
      <c r="D118" s="40"/>
      <c r="E118" s="19"/>
      <c r="F118" s="19"/>
      <c r="G118" s="82">
        <f t="shared" ref="G118:K124" si="27">SUMIF($D$3:$D$113,$C118,G$3:G$113)</f>
        <v>163225.60000000003</v>
      </c>
      <c r="H118" s="102">
        <f t="shared" si="27"/>
        <v>101500</v>
      </c>
      <c r="I118" s="82">
        <f t="shared" si="27"/>
        <v>103022.49999999999</v>
      </c>
      <c r="J118" s="102">
        <f t="shared" si="27"/>
        <v>104567.83749999998</v>
      </c>
      <c r="K118" s="121">
        <f t="shared" si="27"/>
        <v>106136.35506249996</v>
      </c>
    </row>
    <row r="119" spans="2:17" x14ac:dyDescent="0.2">
      <c r="C119" s="59" t="s">
        <v>111</v>
      </c>
      <c r="D119" s="39"/>
      <c r="E119" s="17"/>
      <c r="F119" s="17"/>
      <c r="G119" s="82">
        <f t="shared" si="27"/>
        <v>0</v>
      </c>
      <c r="H119" s="102">
        <f t="shared" si="27"/>
        <v>0</v>
      </c>
      <c r="I119" s="82">
        <f t="shared" si="27"/>
        <v>0</v>
      </c>
      <c r="J119" s="102">
        <f t="shared" si="27"/>
        <v>0</v>
      </c>
      <c r="K119" s="121">
        <f t="shared" si="27"/>
        <v>0</v>
      </c>
    </row>
    <row r="120" spans="2:17" x14ac:dyDescent="0.2">
      <c r="C120" s="59" t="s">
        <v>112</v>
      </c>
      <c r="D120" s="39"/>
      <c r="E120" s="17"/>
      <c r="F120" s="17"/>
      <c r="G120" s="82">
        <f t="shared" si="27"/>
        <v>0</v>
      </c>
      <c r="H120" s="102">
        <f t="shared" si="27"/>
        <v>0</v>
      </c>
      <c r="I120" s="82">
        <f t="shared" si="27"/>
        <v>0</v>
      </c>
      <c r="J120" s="102">
        <f t="shared" si="27"/>
        <v>0</v>
      </c>
      <c r="K120" s="121">
        <f t="shared" si="27"/>
        <v>0</v>
      </c>
    </row>
    <row r="121" spans="2:17" x14ac:dyDescent="0.2">
      <c r="C121" s="59" t="s">
        <v>113</v>
      </c>
      <c r="D121" s="39"/>
      <c r="E121" s="17"/>
      <c r="F121" s="17"/>
      <c r="G121" s="82">
        <f t="shared" si="27"/>
        <v>0</v>
      </c>
      <c r="H121" s="102">
        <f t="shared" si="27"/>
        <v>0</v>
      </c>
      <c r="I121" s="82">
        <f t="shared" si="27"/>
        <v>0</v>
      </c>
      <c r="J121" s="102">
        <f t="shared" si="27"/>
        <v>0</v>
      </c>
      <c r="K121" s="121">
        <f t="shared" si="27"/>
        <v>0</v>
      </c>
    </row>
    <row r="122" spans="2:17" x14ac:dyDescent="0.2">
      <c r="C122" s="59" t="s">
        <v>49</v>
      </c>
      <c r="D122" s="39"/>
      <c r="E122" s="17"/>
      <c r="F122" s="17"/>
      <c r="G122" s="82">
        <f t="shared" si="27"/>
        <v>122400</v>
      </c>
      <c r="H122" s="102">
        <f t="shared" si="27"/>
        <v>0</v>
      </c>
      <c r="I122" s="82">
        <f t="shared" si="27"/>
        <v>0</v>
      </c>
      <c r="J122" s="102">
        <f t="shared" si="27"/>
        <v>0</v>
      </c>
      <c r="K122" s="121">
        <f t="shared" si="27"/>
        <v>0</v>
      </c>
    </row>
    <row r="123" spans="2:17" x14ac:dyDescent="0.2">
      <c r="C123" s="59" t="s">
        <v>303</v>
      </c>
      <c r="D123" s="39"/>
      <c r="E123" s="17"/>
      <c r="F123" s="17"/>
      <c r="G123" s="82">
        <f t="shared" si="27"/>
        <v>20874</v>
      </c>
      <c r="H123" s="102">
        <f t="shared" si="27"/>
        <v>6377.244999999999</v>
      </c>
      <c r="I123" s="82">
        <f t="shared" si="27"/>
        <v>6472.9036749999987</v>
      </c>
      <c r="J123" s="102">
        <f t="shared" si="27"/>
        <v>6569.9972301249982</v>
      </c>
      <c r="K123" s="121">
        <f t="shared" si="27"/>
        <v>6668.547188576872</v>
      </c>
    </row>
    <row r="124" spans="2:17" x14ac:dyDescent="0.2">
      <c r="C124" s="59" t="s">
        <v>304</v>
      </c>
      <c r="D124" s="39"/>
      <c r="E124" s="17"/>
      <c r="F124" s="17"/>
      <c r="G124" s="82">
        <f t="shared" si="27"/>
        <v>0</v>
      </c>
      <c r="H124" s="102">
        <f t="shared" si="27"/>
        <v>0</v>
      </c>
      <c r="I124" s="82">
        <f t="shared" si="27"/>
        <v>0</v>
      </c>
      <c r="J124" s="102">
        <f t="shared" si="27"/>
        <v>0</v>
      </c>
      <c r="K124" s="121">
        <f t="shared" si="27"/>
        <v>0</v>
      </c>
    </row>
    <row r="125" spans="2:17" x14ac:dyDescent="0.2">
      <c r="C125" s="59" t="s">
        <v>53</v>
      </c>
      <c r="D125" s="39"/>
      <c r="E125" s="17"/>
      <c r="F125" s="17"/>
      <c r="G125" s="75">
        <f>SUM(G118:G124)</f>
        <v>306499.60000000003</v>
      </c>
      <c r="H125" s="95">
        <f t="shared" ref="H125:K125" si="28">SUM(H118:H124)</f>
        <v>107877.245</v>
      </c>
      <c r="I125" s="75">
        <f t="shared" si="28"/>
        <v>109495.40367499998</v>
      </c>
      <c r="J125" s="95">
        <f t="shared" si="28"/>
        <v>111137.83473012497</v>
      </c>
      <c r="K125" s="117">
        <f t="shared" si="28"/>
        <v>112804.90225107684</v>
      </c>
    </row>
    <row r="126" spans="2:17" ht="13.5" thickBot="1" x14ac:dyDescent="0.25">
      <c r="C126" s="33" t="s">
        <v>96</v>
      </c>
      <c r="D126" s="41"/>
      <c r="E126" s="31"/>
      <c r="F126" s="31"/>
      <c r="G126" s="81">
        <f>SUMIF($D$3:$D$113,$C126,G$3:G$113)</f>
        <v>0</v>
      </c>
      <c r="H126" s="101">
        <f>SUMIF($D$3:$D$113,$C126,H$3:H$113)</f>
        <v>0</v>
      </c>
      <c r="I126" s="81">
        <f>SUMIF($D$3:$D$113,$C126,I$3:I$113)</f>
        <v>0</v>
      </c>
      <c r="J126" s="101">
        <f>SUMIF($D$3:$D$113,$C126,J$3:J$113)</f>
        <v>0</v>
      </c>
      <c r="K126" s="120">
        <f>SUMIF($D$3:$D$113,$C126,K$3:K$113)</f>
        <v>0</v>
      </c>
    </row>
    <row r="128" spans="2:17" ht="13.5" thickBot="1" x14ac:dyDescent="0.25"/>
    <row r="129" spans="3:11" x14ac:dyDescent="0.2">
      <c r="C129" s="58" t="s">
        <v>114</v>
      </c>
      <c r="D129" s="42"/>
      <c r="E129" s="22"/>
      <c r="F129" s="22"/>
      <c r="G129" s="63"/>
      <c r="H129" s="63"/>
      <c r="I129" s="63"/>
      <c r="J129" s="63"/>
      <c r="K129" s="64"/>
    </row>
    <row r="130" spans="3:11" x14ac:dyDescent="0.2">
      <c r="C130" s="59" t="s">
        <v>54</v>
      </c>
      <c r="D130" s="39"/>
      <c r="E130" s="17"/>
      <c r="F130" s="17"/>
      <c r="G130" s="83">
        <f>G$116/((1+0.03)^G$2)</f>
        <v>297572.42718446604</v>
      </c>
      <c r="H130" s="103">
        <f>H$116/((1+0.03)^H$2)</f>
        <v>101684.64982561975</v>
      </c>
      <c r="I130" s="83">
        <f>I$116/((1+0.03)^I$2)</f>
        <v>100203.80541068353</v>
      </c>
      <c r="J130" s="103">
        <f>J$116/((1+0.03)^J$2)</f>
        <v>98744.52669111047</v>
      </c>
      <c r="K130" s="122">
        <f>K$116/((1+0.03)^K$2)</f>
        <v>97306.499603375851</v>
      </c>
    </row>
    <row r="131" spans="3:11" x14ac:dyDescent="0.2">
      <c r="C131" s="59" t="s">
        <v>55</v>
      </c>
      <c r="D131" s="39"/>
      <c r="E131" s="17"/>
      <c r="F131" s="17"/>
      <c r="G131" s="83">
        <f>G$116/((1+0.05)^G$2)</f>
        <v>291904.38095238095</v>
      </c>
      <c r="H131" s="103">
        <f>H$116/((1+0.05)^H$2)</f>
        <v>97847.841269841258</v>
      </c>
      <c r="I131" s="83">
        <f>I$116/((1+0.05)^I$2)</f>
        <v>94586.246560846528</v>
      </c>
      <c r="J131" s="103">
        <f>J$116/((1+0.05)^J$2)</f>
        <v>91433.371675484988</v>
      </c>
      <c r="K131" s="122">
        <f>K$116/((1+0.05)^K$2)</f>
        <v>88385.59261963547</v>
      </c>
    </row>
    <row r="132" spans="3:11" x14ac:dyDescent="0.2">
      <c r="C132" s="59" t="s">
        <v>56</v>
      </c>
      <c r="D132" s="39"/>
      <c r="E132" s="17"/>
      <c r="F132" s="17"/>
      <c r="G132" s="83">
        <f>G$116/((1+0.08)^G$2)</f>
        <v>283795.92592592596</v>
      </c>
      <c r="H132" s="103">
        <f>H$116/((1+0.08)^H$2)</f>
        <v>92487.349965706439</v>
      </c>
      <c r="I132" s="83">
        <f>I$116/((1+0.08)^I$2)</f>
        <v>86920.981680733341</v>
      </c>
      <c r="J132" s="103">
        <f>J$116/((1+0.08)^J$2)</f>
        <v>81689.626301800308</v>
      </c>
      <c r="K132" s="122">
        <f>K$116/((1+0.08)^K$2)</f>
        <v>76773.121015117882</v>
      </c>
    </row>
    <row r="133" spans="3:11" x14ac:dyDescent="0.2">
      <c r="C133" s="59" t="s">
        <v>57</v>
      </c>
      <c r="D133" s="39"/>
      <c r="E133" s="17"/>
      <c r="F133" s="17"/>
      <c r="G133" s="83">
        <f>G$116/((1+0.1)^G$2)</f>
        <v>278636</v>
      </c>
      <c r="H133" s="103">
        <f>H$116/((1+0.1)^H$2)</f>
        <v>89154.747933884282</v>
      </c>
      <c r="I133" s="83">
        <f>I$116/((1+0.1)^I$2)</f>
        <v>82265.517411720473</v>
      </c>
      <c r="J133" s="103">
        <f>J$116/((1+0.1)^J$2)</f>
        <v>75908.636520814791</v>
      </c>
      <c r="K133" s="122">
        <f>K$116/((1+0.1)^K$2)</f>
        <v>70042.969153297279</v>
      </c>
    </row>
    <row r="134" spans="3:11" ht="13.5" thickBot="1" x14ac:dyDescent="0.25">
      <c r="C134" s="33" t="s">
        <v>58</v>
      </c>
      <c r="D134" s="41"/>
      <c r="E134" s="31"/>
      <c r="F134" s="31"/>
      <c r="G134" s="84">
        <f>G$116/((1+0.12)^G$2)</f>
        <v>273660.35714285716</v>
      </c>
      <c r="H134" s="104">
        <f>H$116/((1+0.12)^H$2)</f>
        <v>85999.079241071406</v>
      </c>
      <c r="I134" s="84">
        <f>I$116/((1+0.12)^I$2)</f>
        <v>77936.665562220951</v>
      </c>
      <c r="J134" s="104">
        <f>J$116/((1+0.12)^J$2)</f>
        <v>70630.103165762732</v>
      </c>
      <c r="K134" s="123">
        <f>K$116/((1+0.12)^K$2)</f>
        <v>64008.530993972468</v>
      </c>
    </row>
  </sheetData>
  <pageMargins left="0.7" right="0.7" top="0.75" bottom="0.75" header="0.3" footer="0.3"/>
  <pageSetup scale="41" fitToHeight="0" orientation="landscape" r:id="rId1"/>
  <ignoredErrors>
    <ignoredError sqref="G125:K125 G43:K44 E7 G92:K92 G47:K47 G45:G46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D3:D113</xm:sqref>
        </x14:dataValidation>
        <x14:dataValidation type="list" allowBlank="1" showInputMessage="1" showErrorMessage="1">
          <x14:formula1>
            <xm:f>'Validation Lists'!$C$2:$C$4</xm:f>
          </x14:formula1>
          <xm:sqref>F3:F113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7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453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SUM(G48*G56,G50*G58,G52*G60,G54*G62)/52</f>
        <v>0</v>
      </c>
      <c r="H22" s="93">
        <f t="shared" ref="H22:K22" si="2">SUM(H48*H56,H50*H58,H52*H60,H54*H62)/52</f>
        <v>0</v>
      </c>
      <c r="I22" s="73">
        <f t="shared" si="2"/>
        <v>0</v>
      </c>
      <c r="J22" s="93">
        <f t="shared" si="2"/>
        <v>0</v>
      </c>
      <c r="K22" s="115">
        <f t="shared" si="2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SUM(G47*G55,G49*G57,G51*G59,G53*G61)/52</f>
        <v>2.8574999999999999</v>
      </c>
      <c r="H27" s="93">
        <f>SUM(H47*H55,H49*H57,H51*H59,H53*H61)/52</f>
        <v>2.8574999999999999</v>
      </c>
      <c r="I27" s="73">
        <f t="shared" ref="I27:K27" si="3">SUM(I47*I55,I49*I57,I51*I59,I53*I61)/52</f>
        <v>2.8574999999999999</v>
      </c>
      <c r="J27" s="93">
        <f t="shared" si="3"/>
        <v>2.8574999999999999</v>
      </c>
      <c r="K27" s="73">
        <f t="shared" si="3"/>
        <v>2.8574999999999999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3</v>
      </c>
      <c r="H31" s="92">
        <f t="shared" ref="H31:K31" si="4">ROUND(H19,0)+ROUND(H20,0)+ROUND(H21,0)+ROUND(H22,0)+ROUND(H23,0)+ROUND(H24,0)+ROUND(H25,0)+ROUND(H26,0)+ROUND(H27,0)+ROUND(H28,0)+ROUND(H29,0)+ROUND(H30,0)</f>
        <v>3</v>
      </c>
      <c r="I31" s="71">
        <f t="shared" si="4"/>
        <v>3</v>
      </c>
      <c r="J31" s="92">
        <f t="shared" si="4"/>
        <v>3</v>
      </c>
      <c r="K31" s="114">
        <f t="shared" si="4"/>
        <v>3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G48+G50+G52+G54</f>
        <v>0</v>
      </c>
      <c r="H32" s="90">
        <f t="shared" ref="H32:K32" si="5">H48+H50+H52+H54</f>
        <v>0</v>
      </c>
      <c r="I32" s="69">
        <f t="shared" si="5"/>
        <v>0</v>
      </c>
      <c r="J32" s="90">
        <f t="shared" si="5"/>
        <v>0</v>
      </c>
      <c r="K32" s="112">
        <f t="shared" si="5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0</v>
      </c>
      <c r="H38" s="93">
        <f t="shared" ref="H38:K38" si="6">ROUNDUP(H32+H33+H34+H35+H36-H37,0)</f>
        <v>0</v>
      </c>
      <c r="I38" s="73">
        <f t="shared" si="6"/>
        <v>0</v>
      </c>
      <c r="J38" s="93">
        <f t="shared" si="6"/>
        <v>0</v>
      </c>
      <c r="K38" s="115">
        <f t="shared" si="6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7">H39</f>
        <v>0</v>
      </c>
      <c r="I40" s="73">
        <f t="shared" si="7"/>
        <v>0</v>
      </c>
      <c r="J40" s="93">
        <f t="shared" si="7"/>
        <v>0</v>
      </c>
      <c r="K40" s="115">
        <f t="shared" si="7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411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 t="shared" ref="H43:K43" si="8">ROUND(H21,0)+ROUND(H22,0)+ROUND(H23,0)+ROUND(H24,0)+ROUND(H25,0)+ROUND(H26,0)-ROUND(H36,0)+ROUND(H19,0)+ROUND(H20,0)</f>
        <v>0</v>
      </c>
      <c r="I43" s="73">
        <f t="shared" si="8"/>
        <v>0</v>
      </c>
      <c r="J43" s="93">
        <f t="shared" si="8"/>
        <v>0</v>
      </c>
      <c r="K43" s="115">
        <f t="shared" si="8"/>
        <v>0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0</v>
      </c>
      <c r="H44" s="264">
        <f>IF(H43-G43&gt;0,H43-G43,0)</f>
        <v>0</v>
      </c>
      <c r="I44" s="73">
        <f t="shared" ref="I44:K44" si="9">IF(I43-H43&gt;0,I43-H43,0)</f>
        <v>0</v>
      </c>
      <c r="J44" s="93">
        <f t="shared" si="9"/>
        <v>0</v>
      </c>
      <c r="K44" s="115">
        <f t="shared" si="9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3</v>
      </c>
      <c r="H45" s="264">
        <f>ROUND(H27,0)+ROUND(H28,0)+ROUND(H29,0)+ROUND(H30,0)</f>
        <v>3</v>
      </c>
      <c r="I45" s="73">
        <f>ROUND(I27,0)+ROUND(I28,0)+ROUND(I29,0)+ROUND(I30,0)</f>
        <v>3</v>
      </c>
      <c r="J45" s="93">
        <f>ROUND(J27,0)+ROUND(J28,0)+ROUND(J29,0)+ROUND(J30,0)</f>
        <v>3</v>
      </c>
      <c r="K45" s="115">
        <f>ROUND(K27,0)+ROUND(K28,0)+ROUND(K29,0)+ROUND(K30,0)</f>
        <v>3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3</v>
      </c>
      <c r="H46" s="265">
        <f>IF(H45-G45&gt;0,H45-G45,0)</f>
        <v>0</v>
      </c>
      <c r="I46" s="71">
        <f t="shared" ref="I46" si="10">IF(I45-H45&gt;0,I45-H45,0)</f>
        <v>0</v>
      </c>
      <c r="J46" s="92">
        <f t="shared" ref="J46" si="11">IF(J45-I45&gt;0,J45-I45,0)</f>
        <v>0</v>
      </c>
      <c r="K46" s="114">
        <f t="shared" ref="K46" si="12">IF(K45-J45&gt;0,K45-J45,0)</f>
        <v>0</v>
      </c>
    </row>
    <row r="47" spans="1:11" x14ac:dyDescent="0.2">
      <c r="A47" s="48" t="s">
        <v>317</v>
      </c>
      <c r="B47" s="168" t="s">
        <v>318</v>
      </c>
      <c r="C47" s="173" t="s">
        <v>237</v>
      </c>
      <c r="D47" s="42" t="s">
        <v>98</v>
      </c>
      <c r="E47" s="19"/>
      <c r="F47" s="19" t="s">
        <v>98</v>
      </c>
      <c r="G47" s="70">
        <v>0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3" t="s">
        <v>437</v>
      </c>
      <c r="D48" s="40" t="s">
        <v>98</v>
      </c>
      <c r="E48" s="19"/>
      <c r="F48" s="19"/>
      <c r="G48" s="70">
        <v>0</v>
      </c>
      <c r="H48" s="91">
        <v>0</v>
      </c>
      <c r="I48" s="70">
        <v>0</v>
      </c>
      <c r="J48" s="91">
        <v>0</v>
      </c>
      <c r="K48" s="113">
        <v>0</v>
      </c>
    </row>
    <row r="49" spans="1:11" x14ac:dyDescent="0.2">
      <c r="A49" s="48"/>
      <c r="B49" s="168"/>
      <c r="C49" s="13" t="s">
        <v>238</v>
      </c>
      <c r="D49" s="40" t="s">
        <v>98</v>
      </c>
      <c r="E49" s="17"/>
      <c r="F49" s="17" t="s">
        <v>98</v>
      </c>
      <c r="G49" s="73">
        <f>(6*0.23*0.75)/2</f>
        <v>0.51750000000000007</v>
      </c>
      <c r="H49" s="93">
        <f>(3*0.23*0.75)/2</f>
        <v>0.25875000000000004</v>
      </c>
      <c r="I49" s="73">
        <f>(3*0.23*0.75)/2</f>
        <v>0.25875000000000004</v>
      </c>
      <c r="J49" s="93">
        <f>(3*0.23*0.75)/2</f>
        <v>0.25875000000000004</v>
      </c>
      <c r="K49" s="115">
        <f>(3*0.23*0.75)/2</f>
        <v>0.25875000000000004</v>
      </c>
    </row>
    <row r="50" spans="1:11" x14ac:dyDescent="0.2">
      <c r="A50" s="48"/>
      <c r="B50" s="168"/>
      <c r="C50" s="13" t="s">
        <v>438</v>
      </c>
      <c r="D50" s="40" t="s">
        <v>98</v>
      </c>
      <c r="E50" s="17"/>
      <c r="F50" s="17"/>
      <c r="G50" s="73">
        <v>0</v>
      </c>
      <c r="H50" s="93">
        <v>0</v>
      </c>
      <c r="I50" s="73">
        <v>0</v>
      </c>
      <c r="J50" s="93">
        <v>0</v>
      </c>
      <c r="K50" s="115">
        <v>0</v>
      </c>
    </row>
    <row r="51" spans="1:11" ht="12" customHeight="1" x14ac:dyDescent="0.2">
      <c r="A51" s="48"/>
      <c r="B51" s="168"/>
      <c r="C51" s="13" t="s">
        <v>239</v>
      </c>
      <c r="D51" s="40" t="s">
        <v>98</v>
      </c>
      <c r="E51" s="17"/>
      <c r="F51" s="17" t="s">
        <v>98</v>
      </c>
      <c r="G51" s="73">
        <f>(15*0.66*0.75)/2</f>
        <v>3.7125000000000004</v>
      </c>
      <c r="H51" s="93">
        <f>(7.5*0.66*0.75)/2</f>
        <v>1.8562500000000002</v>
      </c>
      <c r="I51" s="73">
        <f>(7.5*0.66*0.75)/2</f>
        <v>1.8562500000000002</v>
      </c>
      <c r="J51" s="93">
        <f>(7.5*0.66*0.75)/2</f>
        <v>1.8562500000000002</v>
      </c>
      <c r="K51" s="115">
        <f>(7.5*0.66*0.75)/2</f>
        <v>1.8562500000000002</v>
      </c>
    </row>
    <row r="52" spans="1:11" ht="12" customHeight="1" x14ac:dyDescent="0.2">
      <c r="A52" s="48"/>
      <c r="B52" s="168"/>
      <c r="C52" s="13" t="s">
        <v>439</v>
      </c>
      <c r="D52" s="40" t="s">
        <v>98</v>
      </c>
      <c r="E52" s="18"/>
      <c r="F52" s="18"/>
      <c r="G52" s="73">
        <v>0</v>
      </c>
      <c r="H52" s="93">
        <v>0</v>
      </c>
      <c r="I52" s="73">
        <v>0</v>
      </c>
      <c r="J52" s="93">
        <v>0</v>
      </c>
      <c r="K52" s="115">
        <v>0</v>
      </c>
    </row>
    <row r="53" spans="1:11" ht="12" customHeight="1" x14ac:dyDescent="0.2">
      <c r="A53" s="48"/>
      <c r="B53" s="168"/>
      <c r="C53" s="3" t="s">
        <v>240</v>
      </c>
      <c r="D53" s="40" t="s">
        <v>98</v>
      </c>
      <c r="E53" s="18"/>
      <c r="F53" s="18"/>
      <c r="G53" s="145">
        <f>(36*0.11*0.75)/2</f>
        <v>1.4849999999999999</v>
      </c>
      <c r="H53" s="146">
        <f>(18*0.11*0.75)/2</f>
        <v>0.74249999999999994</v>
      </c>
      <c r="I53" s="145">
        <f>(18*0.11*0.75)/2</f>
        <v>0.74249999999999994</v>
      </c>
      <c r="J53" s="146">
        <f>(18*0.11*0.75)/2</f>
        <v>0.74249999999999994</v>
      </c>
      <c r="K53" s="147">
        <f>(18*0.11*0.75)/2</f>
        <v>0.74249999999999994</v>
      </c>
    </row>
    <row r="54" spans="1:11" ht="13.5" thickBot="1" x14ac:dyDescent="0.25">
      <c r="A54" s="48"/>
      <c r="B54" s="168"/>
      <c r="C54" s="12" t="s">
        <v>440</v>
      </c>
      <c r="D54" s="44" t="s">
        <v>98</v>
      </c>
      <c r="E54" s="18"/>
      <c r="F54" s="18" t="s">
        <v>98</v>
      </c>
      <c r="G54" s="145">
        <v>0</v>
      </c>
      <c r="H54" s="146">
        <v>0</v>
      </c>
      <c r="I54" s="145">
        <v>0</v>
      </c>
      <c r="J54" s="146">
        <v>0</v>
      </c>
      <c r="K54" s="114">
        <v>0</v>
      </c>
    </row>
    <row r="55" spans="1:11" ht="12" customHeight="1" x14ac:dyDescent="0.2">
      <c r="A55" s="165" t="s">
        <v>320</v>
      </c>
      <c r="B55" s="169" t="s">
        <v>318</v>
      </c>
      <c r="C55" s="173" t="s">
        <v>237</v>
      </c>
      <c r="D55" s="42" t="s">
        <v>98</v>
      </c>
      <c r="E55" s="22"/>
      <c r="F55" s="22" t="s">
        <v>98</v>
      </c>
      <c r="G55" s="69">
        <v>0</v>
      </c>
      <c r="H55" s="90">
        <v>0</v>
      </c>
      <c r="I55" s="69">
        <v>0</v>
      </c>
      <c r="J55" s="90">
        <v>0</v>
      </c>
      <c r="K55" s="112">
        <v>0</v>
      </c>
    </row>
    <row r="56" spans="1:11" ht="12" customHeight="1" x14ac:dyDescent="0.2">
      <c r="A56" s="48"/>
      <c r="B56" s="48"/>
      <c r="C56" s="3" t="s">
        <v>437</v>
      </c>
      <c r="D56" s="40" t="s">
        <v>98</v>
      </c>
      <c r="E56" s="19"/>
      <c r="F56" s="19"/>
      <c r="G56" s="70">
        <v>0</v>
      </c>
      <c r="H56" s="91">
        <v>0</v>
      </c>
      <c r="I56" s="70">
        <v>0</v>
      </c>
      <c r="J56" s="91">
        <v>0</v>
      </c>
      <c r="K56" s="113">
        <v>0</v>
      </c>
    </row>
    <row r="57" spans="1:11" x14ac:dyDescent="0.2">
      <c r="A57" s="48"/>
      <c r="B57" s="48"/>
      <c r="C57" s="13" t="s">
        <v>238</v>
      </c>
      <c r="D57" s="40" t="s">
        <v>98</v>
      </c>
      <c r="E57" s="17"/>
      <c r="F57" s="17" t="s">
        <v>98</v>
      </c>
      <c r="G57" s="73">
        <v>26</v>
      </c>
      <c r="H57" s="93">
        <v>52</v>
      </c>
      <c r="I57" s="73">
        <v>52</v>
      </c>
      <c r="J57" s="93">
        <v>52</v>
      </c>
      <c r="K57" s="115">
        <v>52</v>
      </c>
    </row>
    <row r="58" spans="1:11" x14ac:dyDescent="0.2">
      <c r="A58" s="48"/>
      <c r="B58" s="48"/>
      <c r="C58" s="13" t="s">
        <v>438</v>
      </c>
      <c r="D58" s="40" t="s">
        <v>98</v>
      </c>
      <c r="E58" s="17"/>
      <c r="F58" s="17"/>
      <c r="G58" s="73">
        <v>26</v>
      </c>
      <c r="H58" s="93">
        <v>52</v>
      </c>
      <c r="I58" s="73">
        <v>52</v>
      </c>
      <c r="J58" s="93">
        <v>52</v>
      </c>
      <c r="K58" s="115">
        <v>52</v>
      </c>
    </row>
    <row r="59" spans="1:11" x14ac:dyDescent="0.2">
      <c r="A59" s="48"/>
      <c r="B59" s="48"/>
      <c r="C59" s="13" t="s">
        <v>239</v>
      </c>
      <c r="D59" s="40" t="s">
        <v>98</v>
      </c>
      <c r="E59" s="17"/>
      <c r="F59" s="17" t="s">
        <v>98</v>
      </c>
      <c r="G59" s="73">
        <v>26</v>
      </c>
      <c r="H59" s="93">
        <v>52</v>
      </c>
      <c r="I59" s="73">
        <v>52</v>
      </c>
      <c r="J59" s="93">
        <v>52</v>
      </c>
      <c r="K59" s="115">
        <v>52</v>
      </c>
    </row>
    <row r="60" spans="1:11" x14ac:dyDescent="0.2">
      <c r="A60" s="48"/>
      <c r="B60" s="48"/>
      <c r="C60" s="13" t="s">
        <v>439</v>
      </c>
      <c r="D60" s="40" t="s">
        <v>98</v>
      </c>
      <c r="E60" s="18"/>
      <c r="F60" s="18"/>
      <c r="G60" s="145">
        <v>26</v>
      </c>
      <c r="H60" s="146">
        <v>52</v>
      </c>
      <c r="I60" s="145">
        <v>52</v>
      </c>
      <c r="J60" s="146">
        <v>52</v>
      </c>
      <c r="K60" s="147">
        <v>52</v>
      </c>
    </row>
    <row r="61" spans="1:11" x14ac:dyDescent="0.2">
      <c r="A61" s="48"/>
      <c r="B61" s="48"/>
      <c r="C61" s="3" t="s">
        <v>240</v>
      </c>
      <c r="D61" s="40" t="s">
        <v>98</v>
      </c>
      <c r="E61" s="18"/>
      <c r="F61" s="18"/>
      <c r="G61" s="145">
        <v>26</v>
      </c>
      <c r="H61" s="146">
        <v>52</v>
      </c>
      <c r="I61" s="145">
        <v>52</v>
      </c>
      <c r="J61" s="146">
        <v>52</v>
      </c>
      <c r="K61" s="147">
        <v>52</v>
      </c>
    </row>
    <row r="62" spans="1:11" ht="13.5" thickBot="1" x14ac:dyDescent="0.25">
      <c r="A62" s="48"/>
      <c r="B62" s="48"/>
      <c r="C62" s="12" t="s">
        <v>440</v>
      </c>
      <c r="D62" s="44" t="s">
        <v>98</v>
      </c>
      <c r="E62" s="18"/>
      <c r="F62" s="18" t="s">
        <v>98</v>
      </c>
      <c r="G62" s="145">
        <v>26</v>
      </c>
      <c r="H62" s="146">
        <v>52</v>
      </c>
      <c r="I62" s="145">
        <v>52</v>
      </c>
      <c r="J62" s="146">
        <v>52</v>
      </c>
      <c r="K62" s="147">
        <v>52</v>
      </c>
    </row>
    <row r="63" spans="1:11" x14ac:dyDescent="0.2">
      <c r="A63" s="169" t="s">
        <v>321</v>
      </c>
      <c r="B63" s="169" t="s">
        <v>318</v>
      </c>
      <c r="C63" s="21" t="s">
        <v>237</v>
      </c>
      <c r="D63" s="42" t="s">
        <v>49</v>
      </c>
      <c r="E63" s="22"/>
      <c r="F63" s="22" t="s">
        <v>29</v>
      </c>
      <c r="G63" s="74">
        <f>G47*G55*G11</f>
        <v>0</v>
      </c>
      <c r="H63" s="94">
        <f>H47*H55*H11</f>
        <v>0</v>
      </c>
      <c r="I63" s="74">
        <f>I47*I55*I11</f>
        <v>0</v>
      </c>
      <c r="J63" s="94">
        <f>J47*J55*J11</f>
        <v>0</v>
      </c>
      <c r="K63" s="116">
        <f>K47*K55*K11</f>
        <v>0</v>
      </c>
    </row>
    <row r="64" spans="1:11" x14ac:dyDescent="0.2">
      <c r="A64" s="48"/>
      <c r="B64" s="48"/>
      <c r="C64" s="13" t="s">
        <v>437</v>
      </c>
      <c r="D64" s="40" t="s">
        <v>110</v>
      </c>
      <c r="E64" s="19"/>
      <c r="F64" s="19"/>
      <c r="G64" s="82">
        <f>G56*G48*G6</f>
        <v>0</v>
      </c>
      <c r="H64" s="102">
        <f t="shared" ref="H64:K64" si="13">H56*H48*H6</f>
        <v>0</v>
      </c>
      <c r="I64" s="82">
        <f t="shared" si="13"/>
        <v>0</v>
      </c>
      <c r="J64" s="102">
        <f t="shared" si="13"/>
        <v>0</v>
      </c>
      <c r="K64" s="121">
        <f t="shared" si="13"/>
        <v>0</v>
      </c>
    </row>
    <row r="65" spans="1:11" x14ac:dyDescent="0.2">
      <c r="A65" s="48"/>
      <c r="B65" s="48"/>
      <c r="C65" s="13" t="s">
        <v>238</v>
      </c>
      <c r="D65" s="39" t="s">
        <v>49</v>
      </c>
      <c r="E65" s="17"/>
      <c r="F65" s="17" t="s">
        <v>29</v>
      </c>
      <c r="G65" s="75">
        <f>G49*G57*G11</f>
        <v>59202.000000000007</v>
      </c>
      <c r="H65" s="95">
        <f>H49*H57*H11</f>
        <v>60090.030000000006</v>
      </c>
      <c r="I65" s="75">
        <f>I49*I57*I11</f>
        <v>60991.380450000004</v>
      </c>
      <c r="J65" s="95">
        <f>J49*J57*J11</f>
        <v>61906.251156749997</v>
      </c>
      <c r="K65" s="117">
        <f>K49*K57*K11</f>
        <v>62834.844924101242</v>
      </c>
    </row>
    <row r="66" spans="1:11" x14ac:dyDescent="0.2">
      <c r="A66" s="48"/>
      <c r="B66" s="48"/>
      <c r="C66" s="13" t="s">
        <v>438</v>
      </c>
      <c r="D66" s="39" t="s">
        <v>110</v>
      </c>
      <c r="E66" s="17"/>
      <c r="F66" s="17"/>
      <c r="G66" s="75">
        <f>G58*G50*G6</f>
        <v>0</v>
      </c>
      <c r="H66" s="95">
        <f t="shared" ref="H66:K66" si="14">H58*H50*H6</f>
        <v>0</v>
      </c>
      <c r="I66" s="75">
        <f t="shared" si="14"/>
        <v>0</v>
      </c>
      <c r="J66" s="95">
        <f t="shared" si="14"/>
        <v>0</v>
      </c>
      <c r="K66" s="117">
        <f t="shared" si="14"/>
        <v>0</v>
      </c>
    </row>
    <row r="67" spans="1:11" x14ac:dyDescent="0.2">
      <c r="A67" s="48"/>
      <c r="B67" s="48"/>
      <c r="C67" s="13" t="s">
        <v>239</v>
      </c>
      <c r="D67" s="39" t="s">
        <v>49</v>
      </c>
      <c r="E67" s="17"/>
      <c r="F67" s="17" t="s">
        <v>29</v>
      </c>
      <c r="G67" s="75">
        <f>G59*G51*G11</f>
        <v>424710</v>
      </c>
      <c r="H67" s="95">
        <f>H59*H51*H11</f>
        <v>431080.65</v>
      </c>
      <c r="I67" s="75">
        <f>I59*I51*I11</f>
        <v>437546.85975</v>
      </c>
      <c r="J67" s="95">
        <f>J59*J51*J11</f>
        <v>444110.06264624995</v>
      </c>
      <c r="K67" s="117">
        <f>K59*K51*K11</f>
        <v>450771.71358594362</v>
      </c>
    </row>
    <row r="68" spans="1:11" x14ac:dyDescent="0.2">
      <c r="A68" s="48"/>
      <c r="B68" s="48"/>
      <c r="C68" s="13" t="s">
        <v>439</v>
      </c>
      <c r="D68" s="39" t="s">
        <v>110</v>
      </c>
      <c r="E68" s="17"/>
      <c r="F68" s="17"/>
      <c r="G68" s="75">
        <f>G60*G52*G6</f>
        <v>0</v>
      </c>
      <c r="H68" s="95">
        <f t="shared" ref="H68:K68" si="15">H60*H52*H6</f>
        <v>0</v>
      </c>
      <c r="I68" s="75">
        <f t="shared" si="15"/>
        <v>0</v>
      </c>
      <c r="J68" s="95">
        <f t="shared" si="15"/>
        <v>0</v>
      </c>
      <c r="K68" s="117">
        <f t="shared" si="15"/>
        <v>0</v>
      </c>
    </row>
    <row r="69" spans="1:11" x14ac:dyDescent="0.2">
      <c r="A69" s="48"/>
      <c r="B69" s="48"/>
      <c r="C69" s="13" t="s">
        <v>440</v>
      </c>
      <c r="D69" s="39" t="s">
        <v>110</v>
      </c>
      <c r="E69" s="17"/>
      <c r="F69" s="17"/>
      <c r="G69" s="75">
        <f>G62*G54*G6</f>
        <v>0</v>
      </c>
      <c r="H69" s="95">
        <f t="shared" ref="H69:K69" si="16">H62*H54*H6</f>
        <v>0</v>
      </c>
      <c r="I69" s="75">
        <f t="shared" si="16"/>
        <v>0</v>
      </c>
      <c r="J69" s="95">
        <f t="shared" si="16"/>
        <v>0</v>
      </c>
      <c r="K69" s="117">
        <f t="shared" si="16"/>
        <v>0</v>
      </c>
    </row>
    <row r="70" spans="1:11" x14ac:dyDescent="0.2">
      <c r="A70" s="48"/>
      <c r="B70" s="48"/>
      <c r="C70" s="3" t="s">
        <v>240</v>
      </c>
      <c r="D70" s="39" t="s">
        <v>49</v>
      </c>
      <c r="E70" s="17"/>
      <c r="F70" s="17" t="s">
        <v>29</v>
      </c>
      <c r="G70" s="75">
        <f>G61*G53*G11</f>
        <v>169884</v>
      </c>
      <c r="H70" s="95">
        <f t="shared" ref="H70:K70" si="17">H61*H53*H11</f>
        <v>172432.26</v>
      </c>
      <c r="I70" s="75">
        <f t="shared" si="17"/>
        <v>175018.7439</v>
      </c>
      <c r="J70" s="95">
        <f t="shared" si="17"/>
        <v>177644.02505849994</v>
      </c>
      <c r="K70" s="117">
        <f t="shared" si="17"/>
        <v>180308.68543437746</v>
      </c>
    </row>
    <row r="71" spans="1:11" x14ac:dyDescent="0.2">
      <c r="A71" s="48"/>
      <c r="B71" s="48"/>
      <c r="C71" s="11" t="s">
        <v>404</v>
      </c>
      <c r="D71" s="44" t="s">
        <v>98</v>
      </c>
      <c r="E71" s="18"/>
      <c r="F71" s="18"/>
      <c r="G71" s="76">
        <f>SUM(G63:G64)</f>
        <v>0</v>
      </c>
      <c r="H71" s="96">
        <f t="shared" ref="H71:K71" si="18">SUM(H63:H64)</f>
        <v>0</v>
      </c>
      <c r="I71" s="76">
        <f t="shared" si="18"/>
        <v>0</v>
      </c>
      <c r="J71" s="96">
        <f t="shared" si="18"/>
        <v>0</v>
      </c>
      <c r="K71" s="175">
        <f t="shared" si="18"/>
        <v>0</v>
      </c>
    </row>
    <row r="72" spans="1:11" x14ac:dyDescent="0.2">
      <c r="A72" s="48"/>
      <c r="B72" s="48"/>
      <c r="C72" s="11" t="s">
        <v>405</v>
      </c>
      <c r="D72" s="44" t="s">
        <v>98</v>
      </c>
      <c r="E72" s="18"/>
      <c r="F72" s="18"/>
      <c r="G72" s="76">
        <f>SUM(G65:G66)</f>
        <v>59202.000000000007</v>
      </c>
      <c r="H72" s="96">
        <f t="shared" ref="H72:K72" si="19">SUM(H65:H66)</f>
        <v>60090.030000000006</v>
      </c>
      <c r="I72" s="76">
        <f t="shared" si="19"/>
        <v>60991.380450000004</v>
      </c>
      <c r="J72" s="96">
        <f t="shared" si="19"/>
        <v>61906.251156749997</v>
      </c>
      <c r="K72" s="175">
        <f t="shared" si="19"/>
        <v>62834.844924101242</v>
      </c>
    </row>
    <row r="73" spans="1:11" x14ac:dyDescent="0.2">
      <c r="A73" s="48"/>
      <c r="B73" s="48"/>
      <c r="C73" s="11" t="s">
        <v>406</v>
      </c>
      <c r="D73" s="44" t="s">
        <v>98</v>
      </c>
      <c r="E73" s="18"/>
      <c r="F73" s="18"/>
      <c r="G73" s="76">
        <f>SUM(G67:G68)</f>
        <v>424710</v>
      </c>
      <c r="H73" s="96">
        <f t="shared" ref="H73:K73" si="20">SUM(H67:H68)</f>
        <v>431080.65</v>
      </c>
      <c r="I73" s="76">
        <f t="shared" si="20"/>
        <v>437546.85975</v>
      </c>
      <c r="J73" s="96">
        <f t="shared" si="20"/>
        <v>444110.06264624995</v>
      </c>
      <c r="K73" s="175">
        <f t="shared" si="20"/>
        <v>450771.71358594362</v>
      </c>
    </row>
    <row r="74" spans="1:11" x14ac:dyDescent="0.2">
      <c r="A74" s="48"/>
      <c r="B74" s="48"/>
      <c r="C74" s="11" t="s">
        <v>407</v>
      </c>
      <c r="D74" s="44" t="s">
        <v>98</v>
      </c>
      <c r="E74" s="18"/>
      <c r="F74" s="18"/>
      <c r="G74" s="76">
        <f>SUM(G69:G70)</f>
        <v>169884</v>
      </c>
      <c r="H74" s="96">
        <f t="shared" ref="H74:K74" si="21">SUM(H69:H70)</f>
        <v>172432.26</v>
      </c>
      <c r="I74" s="76">
        <f t="shared" si="21"/>
        <v>175018.7439</v>
      </c>
      <c r="J74" s="96">
        <f t="shared" si="21"/>
        <v>177644.02505849994</v>
      </c>
      <c r="K74" s="117">
        <f t="shared" si="21"/>
        <v>180308.68543437746</v>
      </c>
    </row>
    <row r="75" spans="1:11" s="50" customFormat="1" ht="13.5" thickBot="1" x14ac:dyDescent="0.25">
      <c r="A75" s="150"/>
      <c r="B75" s="49"/>
      <c r="C75" s="52" t="s">
        <v>48</v>
      </c>
      <c r="D75" s="53" t="s">
        <v>98</v>
      </c>
      <c r="E75" s="54"/>
      <c r="F75" s="54" t="s">
        <v>98</v>
      </c>
      <c r="G75" s="55">
        <f>SUM(G71:G74)</f>
        <v>653796</v>
      </c>
      <c r="H75" s="55">
        <f t="shared" ref="H75:K75" si="22">SUM(H71:H74)</f>
        <v>663602.94000000006</v>
      </c>
      <c r="I75" s="55">
        <f t="shared" si="22"/>
        <v>673556.9841</v>
      </c>
      <c r="J75" s="55">
        <f t="shared" si="22"/>
        <v>683660.33886149991</v>
      </c>
      <c r="K75" s="56">
        <f t="shared" si="22"/>
        <v>693915.24394442234</v>
      </c>
    </row>
    <row r="76" spans="1:11" x14ac:dyDescent="0.2">
      <c r="B76" s="169" t="s">
        <v>322</v>
      </c>
      <c r="C76" s="21" t="s">
        <v>42</v>
      </c>
      <c r="D76" s="38" t="s">
        <v>304</v>
      </c>
      <c r="E76" s="22"/>
      <c r="F76" s="22" t="s">
        <v>29</v>
      </c>
      <c r="G76" s="77">
        <v>0</v>
      </c>
      <c r="H76" s="97">
        <v>0</v>
      </c>
      <c r="I76" s="77">
        <v>0</v>
      </c>
      <c r="J76" s="97">
        <v>0</v>
      </c>
      <c r="K76" s="124">
        <v>0</v>
      </c>
    </row>
    <row r="77" spans="1:11" x14ac:dyDescent="0.2">
      <c r="B77" s="48"/>
      <c r="C77" s="3" t="s">
        <v>44</v>
      </c>
      <c r="D77" s="39" t="s">
        <v>303</v>
      </c>
      <c r="E77" s="17"/>
      <c r="F77" s="17" t="s">
        <v>29</v>
      </c>
      <c r="G77" s="78">
        <f>(G41*(G17+G18))+(G42*G16)+(G43*(G17+G18))+(G44*G16)+(G45*G17)+(G46*G16)</f>
        <v>30279</v>
      </c>
      <c r="H77" s="98">
        <f ca="1">(H41*(H17+H18))+(H42*H16)+(H43*(H17+H18))+(H44*H16)+(H45*H17)+(H46*H16)</f>
        <v>18084.254999999997</v>
      </c>
      <c r="I77" s="78">
        <f ca="1">(I41*(I17+I18))+(I42*I16)+(I43*(I17+I18))+(I44*I16)+(I45*I17)+(I46*I16)</f>
        <v>18355.518824999996</v>
      </c>
      <c r="J77" s="98">
        <f ca="1">(J41*(J17+J18))+(J42*J16)+(J43*(J17+J18))+(J44*J16)+(J45*J17)+(J46*J16)</f>
        <v>18630.851607374992</v>
      </c>
      <c r="K77" s="118">
        <f ca="1">(K41*(K17+K18))+(K42*K16)+(K43*(K17+K18))+(K44*K16)+(K45*K17)+(K46*K16)</f>
        <v>18910.314381485616</v>
      </c>
    </row>
    <row r="78" spans="1:11" x14ac:dyDescent="0.2">
      <c r="B78" s="48"/>
      <c r="C78" s="14" t="s">
        <v>45</v>
      </c>
      <c r="D78" s="149" t="s">
        <v>304</v>
      </c>
      <c r="E78" s="25"/>
      <c r="F78" s="25" t="s">
        <v>29</v>
      </c>
      <c r="G78" s="78">
        <v>0</v>
      </c>
      <c r="H78" s="98">
        <v>0</v>
      </c>
      <c r="I78" s="78">
        <v>0</v>
      </c>
      <c r="J78" s="98">
        <v>0</v>
      </c>
      <c r="K78" s="118">
        <v>0</v>
      </c>
    </row>
    <row r="79" spans="1:11" x14ac:dyDescent="0.2">
      <c r="B79" s="48"/>
      <c r="C79" s="14" t="s">
        <v>46</v>
      </c>
      <c r="D79" s="149" t="s">
        <v>304</v>
      </c>
      <c r="E79" s="25"/>
      <c r="F79" s="25" t="s">
        <v>29</v>
      </c>
      <c r="G79" s="78">
        <v>0</v>
      </c>
      <c r="H79" s="98">
        <v>0</v>
      </c>
      <c r="I79" s="78">
        <v>0</v>
      </c>
      <c r="J79" s="98">
        <v>0</v>
      </c>
      <c r="K79" s="118">
        <v>0</v>
      </c>
    </row>
    <row r="80" spans="1:11" x14ac:dyDescent="0.2">
      <c r="B80" s="48"/>
      <c r="C80" s="151" t="s">
        <v>47</v>
      </c>
      <c r="D80" s="148" t="s">
        <v>304</v>
      </c>
      <c r="E80" s="152"/>
      <c r="F80" s="25" t="s">
        <v>29</v>
      </c>
      <c r="G80" s="79">
        <v>0</v>
      </c>
      <c r="H80" s="100">
        <v>0</v>
      </c>
      <c r="I80" s="79">
        <v>0</v>
      </c>
      <c r="J80" s="100">
        <v>0</v>
      </c>
      <c r="K80" s="119">
        <v>0</v>
      </c>
    </row>
    <row r="81" spans="2:17" s="50" customFormat="1" ht="13.5" thickBot="1" x14ac:dyDescent="0.25">
      <c r="B81" s="51"/>
      <c r="C81" s="52" t="s">
        <v>48</v>
      </c>
      <c r="D81" s="57" t="s">
        <v>98</v>
      </c>
      <c r="E81" s="54"/>
      <c r="F81" s="54" t="s">
        <v>98</v>
      </c>
      <c r="G81" s="61">
        <f>SUM(G76:G80)</f>
        <v>30279</v>
      </c>
      <c r="H81" s="61">
        <f ca="1">SUM(H76:H80)</f>
        <v>18084.254999999997</v>
      </c>
      <c r="I81" s="61">
        <f ca="1">SUM(I76:I80)</f>
        <v>18355.518824999996</v>
      </c>
      <c r="J81" s="61">
        <f ca="1">SUM(J76:J80)</f>
        <v>18630.851607374992</v>
      </c>
      <c r="K81" s="62">
        <f ca="1">SUM(K76:K80)</f>
        <v>18910.314381485616</v>
      </c>
    </row>
    <row r="82" spans="2:17" x14ac:dyDescent="0.2">
      <c r="B82" s="169" t="s">
        <v>323</v>
      </c>
      <c r="C82" s="35" t="s">
        <v>50</v>
      </c>
      <c r="D82" s="42" t="s">
        <v>96</v>
      </c>
      <c r="E82" s="22"/>
      <c r="F82" s="22" t="s">
        <v>29</v>
      </c>
      <c r="G82" s="80">
        <v>0</v>
      </c>
      <c r="H82" s="99">
        <v>0</v>
      </c>
      <c r="I82" s="80">
        <v>0</v>
      </c>
      <c r="J82" s="99">
        <v>0</v>
      </c>
      <c r="K82" s="125">
        <v>0</v>
      </c>
    </row>
    <row r="83" spans="2:17" x14ac:dyDescent="0.2">
      <c r="B83" s="48"/>
      <c r="C83" s="14" t="s">
        <v>76</v>
      </c>
      <c r="D83" s="39" t="s">
        <v>96</v>
      </c>
      <c r="E83" s="17"/>
      <c r="F83" s="17" t="s">
        <v>29</v>
      </c>
      <c r="G83" s="78">
        <v>0</v>
      </c>
      <c r="H83" s="98">
        <v>0</v>
      </c>
      <c r="I83" s="78">
        <v>0</v>
      </c>
      <c r="J83" s="98">
        <v>0</v>
      </c>
      <c r="K83" s="118">
        <v>0</v>
      </c>
    </row>
    <row r="84" spans="2:17" x14ac:dyDescent="0.2">
      <c r="B84" s="48"/>
      <c r="C84" s="14" t="s">
        <v>51</v>
      </c>
      <c r="D84" s="39" t="s">
        <v>96</v>
      </c>
      <c r="E84" s="17"/>
      <c r="F84" s="17" t="s">
        <v>29</v>
      </c>
      <c r="G84" s="78">
        <v>0</v>
      </c>
      <c r="H84" s="98">
        <v>0</v>
      </c>
      <c r="I84" s="78">
        <v>0</v>
      </c>
      <c r="J84" s="98">
        <v>0</v>
      </c>
      <c r="K84" s="118">
        <v>0</v>
      </c>
    </row>
    <row r="85" spans="2:17" x14ac:dyDescent="0.2">
      <c r="B85" s="48"/>
      <c r="C85" s="14" t="s">
        <v>52</v>
      </c>
      <c r="D85" s="39" t="s">
        <v>96</v>
      </c>
      <c r="E85" s="17"/>
      <c r="F85" s="17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2:17" s="50" customFormat="1" ht="13.5" thickBot="1" x14ac:dyDescent="0.25">
      <c r="B86" s="51"/>
      <c r="C86" s="52" t="s">
        <v>48</v>
      </c>
      <c r="D86" s="53" t="s">
        <v>98</v>
      </c>
      <c r="E86" s="54"/>
      <c r="F86" s="54" t="s">
        <v>98</v>
      </c>
      <c r="G86" s="61">
        <f>SUM(G82:G85)</f>
        <v>0</v>
      </c>
      <c r="H86" s="61">
        <f>SUM(H82:H85)</f>
        <v>0</v>
      </c>
      <c r="I86" s="61">
        <f>SUM(I82:I85)</f>
        <v>0</v>
      </c>
      <c r="J86" s="61">
        <f>SUM(J82:J85)</f>
        <v>0</v>
      </c>
      <c r="K86" s="62">
        <f>SUM(K82:K85)</f>
        <v>0</v>
      </c>
    </row>
    <row r="88" spans="2:17" ht="13.5" thickBot="1" x14ac:dyDescent="0.25"/>
    <row r="89" spans="2:17" s="50" customFormat="1" x14ac:dyDescent="0.2">
      <c r="C89" s="126" t="s">
        <v>120</v>
      </c>
      <c r="D89" s="127"/>
      <c r="E89" s="128"/>
      <c r="F89" s="129"/>
      <c r="G89" s="134">
        <f>SUM(G75+G81+G86)</f>
        <v>684075</v>
      </c>
      <c r="H89" s="134">
        <f ca="1">SUM(H75+H81+H86)</f>
        <v>681687.19500000007</v>
      </c>
      <c r="I89" s="134">
        <f ca="1">SUM(I75+I81+I86)</f>
        <v>691912.50292500004</v>
      </c>
      <c r="J89" s="134">
        <f ca="1">SUM(J75+J81+J86)</f>
        <v>702291.19046887488</v>
      </c>
      <c r="K89" s="135">
        <f ca="1">SUM(K75+K81+K86)</f>
        <v>712825.55832590791</v>
      </c>
      <c r="M89" s="1"/>
      <c r="N89" s="1"/>
      <c r="O89" s="1"/>
      <c r="P89" s="1"/>
      <c r="Q89" s="1"/>
    </row>
    <row r="90" spans="2:17" ht="13.5" thickBot="1" x14ac:dyDescent="0.25">
      <c r="C90" s="130" t="s">
        <v>121</v>
      </c>
      <c r="D90" s="131"/>
      <c r="E90" s="132"/>
      <c r="F90" s="133"/>
      <c r="G90" s="136">
        <f>G89</f>
        <v>684075</v>
      </c>
      <c r="H90" s="136">
        <f ca="1">G90+H89</f>
        <v>1365762.1950000001</v>
      </c>
      <c r="I90" s="136">
        <f ca="1">H90+I89</f>
        <v>2057674.697925</v>
      </c>
      <c r="J90" s="136">
        <f ca="1">I90+J89</f>
        <v>2759965.8883938747</v>
      </c>
      <c r="K90" s="137">
        <f ca="1">J90+K89</f>
        <v>3472791.4467197824</v>
      </c>
    </row>
    <row r="91" spans="2:17" x14ac:dyDescent="0.2">
      <c r="C91" s="32" t="s">
        <v>110</v>
      </c>
      <c r="D91" s="40"/>
      <c r="E91" s="19"/>
      <c r="F91" s="19"/>
      <c r="G91" s="82">
        <f t="shared" ref="G91:K97" si="23">SUMIF($D$3:$D$86,$C91,G$3:G$86)</f>
        <v>0</v>
      </c>
      <c r="H91" s="102">
        <f t="shared" si="23"/>
        <v>0</v>
      </c>
      <c r="I91" s="82">
        <f t="shared" si="23"/>
        <v>0</v>
      </c>
      <c r="J91" s="102">
        <f t="shared" si="23"/>
        <v>0</v>
      </c>
      <c r="K91" s="116">
        <f t="shared" si="23"/>
        <v>0</v>
      </c>
    </row>
    <row r="92" spans="2:17" x14ac:dyDescent="0.2">
      <c r="C92" s="59" t="s">
        <v>111</v>
      </c>
      <c r="D92" s="39"/>
      <c r="E92" s="17"/>
      <c r="F92" s="17"/>
      <c r="G92" s="82">
        <f t="shared" si="23"/>
        <v>0</v>
      </c>
      <c r="H92" s="102">
        <f t="shared" si="23"/>
        <v>0</v>
      </c>
      <c r="I92" s="82">
        <f t="shared" si="23"/>
        <v>0</v>
      </c>
      <c r="J92" s="102">
        <f t="shared" si="23"/>
        <v>0</v>
      </c>
      <c r="K92" s="121">
        <f t="shared" si="23"/>
        <v>0</v>
      </c>
    </row>
    <row r="93" spans="2:17" x14ac:dyDescent="0.2">
      <c r="C93" s="59" t="s">
        <v>112</v>
      </c>
      <c r="D93" s="39"/>
      <c r="E93" s="17"/>
      <c r="F93" s="17"/>
      <c r="G93" s="82">
        <f t="shared" si="23"/>
        <v>0</v>
      </c>
      <c r="H93" s="102">
        <f t="shared" si="23"/>
        <v>0</v>
      </c>
      <c r="I93" s="82">
        <f t="shared" si="23"/>
        <v>0</v>
      </c>
      <c r="J93" s="102">
        <f t="shared" si="23"/>
        <v>0</v>
      </c>
      <c r="K93" s="121">
        <f t="shared" si="23"/>
        <v>0</v>
      </c>
    </row>
    <row r="94" spans="2:17" x14ac:dyDescent="0.2">
      <c r="C94" s="59" t="s">
        <v>113</v>
      </c>
      <c r="D94" s="39"/>
      <c r="E94" s="17"/>
      <c r="F94" s="17"/>
      <c r="G94" s="82">
        <f t="shared" si="23"/>
        <v>0</v>
      </c>
      <c r="H94" s="102">
        <f t="shared" si="23"/>
        <v>0</v>
      </c>
      <c r="I94" s="82">
        <f t="shared" si="23"/>
        <v>0</v>
      </c>
      <c r="J94" s="102">
        <f t="shared" si="23"/>
        <v>0</v>
      </c>
      <c r="K94" s="121">
        <f t="shared" si="23"/>
        <v>0</v>
      </c>
    </row>
    <row r="95" spans="2:17" x14ac:dyDescent="0.2">
      <c r="C95" s="59" t="s">
        <v>49</v>
      </c>
      <c r="D95" s="39"/>
      <c r="E95" s="17"/>
      <c r="F95" s="17"/>
      <c r="G95" s="82">
        <f t="shared" si="23"/>
        <v>653796</v>
      </c>
      <c r="H95" s="102">
        <f t="shared" si="23"/>
        <v>663602.94000000006</v>
      </c>
      <c r="I95" s="82">
        <f t="shared" si="23"/>
        <v>673556.9841</v>
      </c>
      <c r="J95" s="102">
        <f t="shared" si="23"/>
        <v>683660.33886149991</v>
      </c>
      <c r="K95" s="121">
        <f t="shared" si="23"/>
        <v>693915.24394442234</v>
      </c>
    </row>
    <row r="96" spans="2:17" x14ac:dyDescent="0.2">
      <c r="C96" s="59" t="s">
        <v>303</v>
      </c>
      <c r="D96" s="39"/>
      <c r="E96" s="17"/>
      <c r="F96" s="17"/>
      <c r="G96" s="82">
        <f t="shared" si="23"/>
        <v>30279</v>
      </c>
      <c r="H96" s="102">
        <f t="shared" ca="1" si="23"/>
        <v>18084.254999999997</v>
      </c>
      <c r="I96" s="82">
        <f t="shared" ca="1" si="23"/>
        <v>18355.518824999996</v>
      </c>
      <c r="J96" s="102">
        <f t="shared" ca="1" si="23"/>
        <v>18630.851607374992</v>
      </c>
      <c r="K96" s="121">
        <f t="shared" ca="1" si="23"/>
        <v>18910.314381485616</v>
      </c>
    </row>
    <row r="97" spans="3:11" x14ac:dyDescent="0.2">
      <c r="C97" s="59" t="s">
        <v>304</v>
      </c>
      <c r="D97" s="39"/>
      <c r="E97" s="17"/>
      <c r="F97" s="17"/>
      <c r="G97" s="82">
        <f t="shared" si="23"/>
        <v>0</v>
      </c>
      <c r="H97" s="102">
        <f t="shared" si="23"/>
        <v>0</v>
      </c>
      <c r="I97" s="82">
        <f t="shared" si="23"/>
        <v>0</v>
      </c>
      <c r="J97" s="102">
        <f t="shared" si="23"/>
        <v>0</v>
      </c>
      <c r="K97" s="121">
        <f t="shared" si="23"/>
        <v>0</v>
      </c>
    </row>
    <row r="98" spans="3:11" s="50" customFormat="1" x14ac:dyDescent="0.2">
      <c r="C98" s="159" t="s">
        <v>53</v>
      </c>
      <c r="D98" s="160"/>
      <c r="E98" s="161"/>
      <c r="F98" s="161"/>
      <c r="G98" s="162">
        <f>SUM(G91:G97)</f>
        <v>684075</v>
      </c>
      <c r="H98" s="163">
        <f t="shared" ref="H98:K98" ca="1" si="24">SUM(H91:H97)</f>
        <v>681687.19500000007</v>
      </c>
      <c r="I98" s="162">
        <f t="shared" ca="1" si="24"/>
        <v>691912.50292500004</v>
      </c>
      <c r="J98" s="163">
        <f t="shared" ca="1" si="24"/>
        <v>702291.19046887488</v>
      </c>
      <c r="K98" s="164">
        <f t="shared" ca="1" si="24"/>
        <v>712825.55832590791</v>
      </c>
    </row>
    <row r="99" spans="3:11" ht="13.5" thickBot="1" x14ac:dyDescent="0.25">
      <c r="C99" s="33" t="s">
        <v>96</v>
      </c>
      <c r="D99" s="41"/>
      <c r="E99" s="31"/>
      <c r="F99" s="31"/>
      <c r="G99" s="81">
        <f>SUMIF($D$3:$D$86,$C99,G$3:G$86)</f>
        <v>0</v>
      </c>
      <c r="H99" s="101">
        <f>SUMIF($D$3:$D$86,$C99,H$3:H$86)</f>
        <v>0</v>
      </c>
      <c r="I99" s="81">
        <f>SUMIF($D$3:$D$86,$C99,I$3:I$86)</f>
        <v>0</v>
      </c>
      <c r="J99" s="101">
        <f>SUMIF($D$3:$D$86,$C99,J$3:J$86)</f>
        <v>0</v>
      </c>
      <c r="K99" s="120">
        <f>SUMIF($D$3:$D$86,$C99,K$3:K$86)</f>
        <v>0</v>
      </c>
    </row>
    <row r="101" spans="3:11" ht="13.5" thickBot="1" x14ac:dyDescent="0.25"/>
    <row r="102" spans="3:11" x14ac:dyDescent="0.2">
      <c r="C102" s="58" t="s">
        <v>114</v>
      </c>
      <c r="D102" s="42"/>
      <c r="E102" s="22"/>
      <c r="F102" s="22"/>
      <c r="G102" s="63"/>
      <c r="H102" s="63"/>
      <c r="I102" s="63"/>
      <c r="J102" s="63"/>
      <c r="K102" s="64"/>
    </row>
    <row r="103" spans="3:11" x14ac:dyDescent="0.2">
      <c r="C103" s="59" t="s">
        <v>54</v>
      </c>
      <c r="D103" s="39"/>
      <c r="E103" s="17"/>
      <c r="F103" s="17"/>
      <c r="G103" s="83">
        <f>G$89/((1+0.03)^G$2)</f>
        <v>664150.48543689318</v>
      </c>
      <c r="H103" s="103">
        <f ca="1">H$89/((1+0.03)^H$2)</f>
        <v>642555.56131586398</v>
      </c>
      <c r="I103" s="83">
        <f ca="1">I$89/((1+0.03)^I$2)</f>
        <v>633197.95605398237</v>
      </c>
      <c r="J103" s="103">
        <f ca="1">J$89/((1+0.03)^J$2)</f>
        <v>623976.6265968855</v>
      </c>
      <c r="K103" s="122">
        <f ca="1">K$89/((1+0.03)^K$2)</f>
        <v>614889.58834547445</v>
      </c>
    </row>
    <row r="104" spans="3:11" x14ac:dyDescent="0.2">
      <c r="C104" s="59" t="s">
        <v>55</v>
      </c>
      <c r="D104" s="39"/>
      <c r="E104" s="17"/>
      <c r="F104" s="17"/>
      <c r="G104" s="83">
        <f>G$89/((1+0.05)^G$2)</f>
        <v>651500</v>
      </c>
      <c r="H104" s="103">
        <f ca="1">H$89/((1+0.05)^H$2)</f>
        <v>618310.38095238095</v>
      </c>
      <c r="I104" s="83">
        <f ca="1">I$89/((1+0.05)^I$2)</f>
        <v>597700.03492063493</v>
      </c>
      <c r="J104" s="103">
        <f ca="1">J$89/((1+0.05)^J$2)</f>
        <v>577776.70042328036</v>
      </c>
      <c r="K104" s="122">
        <f ca="1">K$89/((1+0.05)^K$2)</f>
        <v>558517.47707583755</v>
      </c>
    </row>
    <row r="105" spans="3:11" x14ac:dyDescent="0.2">
      <c r="C105" s="59" t="s">
        <v>56</v>
      </c>
      <c r="D105" s="39"/>
      <c r="E105" s="17"/>
      <c r="F105" s="17"/>
      <c r="G105" s="83">
        <f>G$89/((1+0.08)^G$2)</f>
        <v>633402.77777777775</v>
      </c>
      <c r="H105" s="103">
        <f ca="1">H$89/((1+0.08)^H$2)</f>
        <v>584436.89557613165</v>
      </c>
      <c r="I105" s="83">
        <f ca="1">I$89/((1+0.08)^I$2)</f>
        <v>549262.45278682746</v>
      </c>
      <c r="J105" s="103">
        <f ca="1">J$89/((1+0.08)^J$2)</f>
        <v>516204.99035058299</v>
      </c>
      <c r="K105" s="122">
        <f ca="1">K$89/((1+0.08)^K$2)</f>
        <v>485137.09741281637</v>
      </c>
    </row>
    <row r="106" spans="3:11" x14ac:dyDescent="0.2">
      <c r="C106" s="59" t="s">
        <v>57</v>
      </c>
      <c r="D106" s="39"/>
      <c r="E106" s="17"/>
      <c r="F106" s="17"/>
      <c r="G106" s="83">
        <f>G$89/((1+0.1)^G$2)</f>
        <v>621886.36363636353</v>
      </c>
      <c r="H106" s="103">
        <f ca="1">H$89/((1+0.1)^H$2)</f>
        <v>563377.84710743802</v>
      </c>
      <c r="I106" s="83">
        <f ca="1">I$89/((1+0.1)^I$2)</f>
        <v>519844.10437640856</v>
      </c>
      <c r="J106" s="103">
        <f ca="1">J$89/((1+0.1)^J$2)</f>
        <v>479674.33267459512</v>
      </c>
      <c r="K106" s="122">
        <f ca="1">K$89/((1+0.1)^K$2)</f>
        <v>442608.58878610359</v>
      </c>
    </row>
    <row r="107" spans="3:11" ht="13.5" thickBot="1" x14ac:dyDescent="0.25">
      <c r="C107" s="33" t="s">
        <v>58</v>
      </c>
      <c r="D107" s="41"/>
      <c r="E107" s="31"/>
      <c r="F107" s="31"/>
      <c r="G107" s="84">
        <f>G$89/((1+0.12)^G$2)</f>
        <v>610781.25</v>
      </c>
      <c r="H107" s="104">
        <f ca="1">H$89/((1+0.12)^H$2)</f>
        <v>543436.85825892852</v>
      </c>
      <c r="I107" s="84">
        <f ca="1">I$89/((1+0.12)^I$2)</f>
        <v>492489.65279715392</v>
      </c>
      <c r="J107" s="104">
        <f ca="1">J$89/((1+0.12)^J$2)</f>
        <v>446318.74784742063</v>
      </c>
      <c r="K107" s="123">
        <f ca="1">K$89/((1+0.12)^K$2)</f>
        <v>404476.3652367249</v>
      </c>
    </row>
  </sheetData>
  <pageMargins left="0.7" right="0.7" top="0.75" bottom="0.75" header="0.3" footer="0.3"/>
  <pageSetup scale="46" fitToHeight="0" orientation="landscape" r:id="rId1"/>
  <ignoredErrors>
    <ignoredError sqref="G31" evalError="1"/>
    <ignoredError sqref="G42 H41:K41" formulaRange="1"/>
    <ignoredError sqref="G45:K45 G41" formula="1" formulaRange="1"/>
    <ignoredError sqref="G98:K98 G43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F3:F86</xm:sqref>
        </x14:dataValidation>
        <x14:dataValidation type="list" allowBlank="1" showInputMessage="1" showErrorMessage="1">
          <x14:formula1>
            <xm:f>'Validation Lists'!$A$2:$A$12</xm:f>
          </x14:formula1>
          <xm:sqref>D3:D86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7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450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SUM(G48*G56,G50*G58,G52*G60,G53*G61)/52</f>
        <v>0</v>
      </c>
      <c r="H22" s="93">
        <f t="shared" ref="H22:K22" si="2">SUM(H48*H56,H50*H58,H52*H60,H53*H61)/52</f>
        <v>0</v>
      </c>
      <c r="I22" s="73">
        <f t="shared" si="2"/>
        <v>0</v>
      </c>
      <c r="J22" s="93">
        <f t="shared" si="2"/>
        <v>0</v>
      </c>
      <c r="K22" s="115">
        <f t="shared" si="2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SUM(G47*G55,G49*G57,G51*G59,G54*G62)/52</f>
        <v>2.54</v>
      </c>
      <c r="H27" s="93">
        <f t="shared" ref="H27:K27" si="3">SUM(H47*H55,H49*H57,H51*H59,H54*H62)/52</f>
        <v>2.54</v>
      </c>
      <c r="I27" s="73">
        <f t="shared" si="3"/>
        <v>2.54</v>
      </c>
      <c r="J27" s="93">
        <f t="shared" si="3"/>
        <v>2.54</v>
      </c>
      <c r="K27" s="115">
        <f t="shared" si="3"/>
        <v>2.54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3</v>
      </c>
      <c r="H31" s="92">
        <f t="shared" ref="H31:K31" si="4">ROUND(H19,0)+ROUND(H20,0)+ROUND(H21,0)+ROUND(H22,0)+ROUND(H23,0)+ROUND(H24,0)+ROUND(H25,0)+ROUND(H26,0)+ROUND(H27,0)+ROUND(H28,0)+ROUND(H29,0)+ROUND(H30,0)</f>
        <v>3</v>
      </c>
      <c r="I31" s="71">
        <f t="shared" si="4"/>
        <v>3</v>
      </c>
      <c r="J31" s="92">
        <f t="shared" si="4"/>
        <v>3</v>
      </c>
      <c r="K31" s="114">
        <f t="shared" si="4"/>
        <v>3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G48+G50+G52+G54</f>
        <v>1.32</v>
      </c>
      <c r="H32" s="90">
        <f>H48+H50+H52+H54</f>
        <v>0.66</v>
      </c>
      <c r="I32" s="69">
        <f t="shared" ref="I32:K32" si="5">I48+I50+I52+I54</f>
        <v>0.66</v>
      </c>
      <c r="J32" s="90">
        <f t="shared" si="5"/>
        <v>0.66</v>
      </c>
      <c r="K32" s="112">
        <f t="shared" si="5"/>
        <v>0.66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2</v>
      </c>
      <c r="H38" s="93">
        <f t="shared" ref="H38:K38" si="6">ROUNDUP(H32+H33+H34+H35+H36-H37,0)</f>
        <v>1</v>
      </c>
      <c r="I38" s="73">
        <f t="shared" si="6"/>
        <v>1</v>
      </c>
      <c r="J38" s="93">
        <f t="shared" si="6"/>
        <v>1</v>
      </c>
      <c r="K38" s="115">
        <f t="shared" si="6"/>
        <v>1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7">H39</f>
        <v>0</v>
      </c>
      <c r="I40" s="73">
        <f t="shared" si="7"/>
        <v>0</v>
      </c>
      <c r="J40" s="93">
        <f t="shared" si="7"/>
        <v>0</v>
      </c>
      <c r="K40" s="115">
        <f t="shared" si="7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8">ROUND(H21,0)+ROUND(H22,0)+ROUND(H23,0)+ROUND(H24,0)+ROUND(H25,0)+ROUND(H26,0)-ROUND(H36,0)</f>
        <v>0</v>
      </c>
      <c r="I43" s="73">
        <f t="shared" si="8"/>
        <v>0</v>
      </c>
      <c r="J43" s="93">
        <f t="shared" si="8"/>
        <v>0</v>
      </c>
      <c r="K43" s="115">
        <f t="shared" si="8"/>
        <v>0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0</v>
      </c>
      <c r="I44" s="73">
        <f t="shared" ref="I44:K44" si="9">IF(I43-H43&gt;0,I43-H43,0)</f>
        <v>0</v>
      </c>
      <c r="J44" s="93">
        <f t="shared" si="9"/>
        <v>0</v>
      </c>
      <c r="K44" s="115">
        <f t="shared" si="9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3</v>
      </c>
      <c r="H45" s="93">
        <f>ROUND(H27,0)+ROUND(H28,0)+ROUND(H29,0)+ROUND(H30,0)</f>
        <v>3</v>
      </c>
      <c r="I45" s="73">
        <f>ROUND(I27,0)+ROUND(I28,0)+ROUND(I29,0)+ROUND(I30,0)</f>
        <v>3</v>
      </c>
      <c r="J45" s="93">
        <f>ROUND(J27,0)+ROUND(J28,0)+ROUND(J29,0)+ROUND(J30,0)</f>
        <v>3</v>
      </c>
      <c r="K45" s="115">
        <f>ROUND(K27,0)+ROUND(K28,0)+ROUND(K29,0)+ROUND(K30,0)</f>
        <v>3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3</v>
      </c>
      <c r="H46" s="92">
        <f>IF(H45-G45&gt;0,H45-G45,0)</f>
        <v>0</v>
      </c>
      <c r="I46" s="71">
        <f t="shared" ref="I46" si="10">IF(I45-H45&gt;0,I45-H45,0)</f>
        <v>0</v>
      </c>
      <c r="J46" s="92">
        <f t="shared" ref="J46" si="11">IF(J45-I45&gt;0,J45-I45,0)</f>
        <v>0</v>
      </c>
      <c r="K46" s="114">
        <f t="shared" ref="K46" si="12">IF(K45-J45&gt;0,K45-J45,0)</f>
        <v>0</v>
      </c>
    </row>
    <row r="47" spans="1:11" x14ac:dyDescent="0.2">
      <c r="A47" s="48" t="s">
        <v>317</v>
      </c>
      <c r="B47" s="168" t="s">
        <v>318</v>
      </c>
      <c r="C47" s="227" t="s">
        <v>241</v>
      </c>
      <c r="D47" s="40" t="s">
        <v>98</v>
      </c>
      <c r="E47" s="19"/>
      <c r="F47" s="19" t="s">
        <v>98</v>
      </c>
      <c r="G47" s="70">
        <v>0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227" t="s">
        <v>424</v>
      </c>
      <c r="D48" s="40" t="s">
        <v>98</v>
      </c>
      <c r="E48" s="19"/>
      <c r="F48" s="19"/>
      <c r="G48" s="70">
        <v>0</v>
      </c>
      <c r="H48" s="91">
        <v>0</v>
      </c>
      <c r="I48" s="70">
        <v>0</v>
      </c>
      <c r="J48" s="91">
        <v>0</v>
      </c>
      <c r="K48" s="113">
        <v>0</v>
      </c>
    </row>
    <row r="49" spans="1:11" x14ac:dyDescent="0.2">
      <c r="A49" s="48"/>
      <c r="B49" s="168"/>
      <c r="C49" s="227" t="s">
        <v>242</v>
      </c>
      <c r="D49" s="39" t="s">
        <v>98</v>
      </c>
      <c r="E49" s="17"/>
      <c r="F49" s="17" t="s">
        <v>98</v>
      </c>
      <c r="G49" s="73">
        <f>(4*0.23)/2</f>
        <v>0.46</v>
      </c>
      <c r="H49" s="93">
        <f>(2*0.23)/2</f>
        <v>0.23</v>
      </c>
      <c r="I49" s="73">
        <f>(2*0.23)/2</f>
        <v>0.23</v>
      </c>
      <c r="J49" s="93">
        <f>(2*0.23)/2</f>
        <v>0.23</v>
      </c>
      <c r="K49" s="115">
        <f>(2*0.23)/2</f>
        <v>0.23</v>
      </c>
    </row>
    <row r="50" spans="1:11" x14ac:dyDescent="0.2">
      <c r="A50" s="48"/>
      <c r="B50" s="168"/>
      <c r="C50" s="227" t="s">
        <v>425</v>
      </c>
      <c r="D50" s="39" t="s">
        <v>98</v>
      </c>
      <c r="E50" s="17"/>
      <c r="F50" s="17"/>
      <c r="G50" s="73">
        <v>0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227" t="s">
        <v>243</v>
      </c>
      <c r="D51" s="39" t="s">
        <v>98</v>
      </c>
      <c r="E51" s="17"/>
      <c r="F51" s="17" t="s">
        <v>98</v>
      </c>
      <c r="G51" s="73">
        <f>(10*0.66)/2</f>
        <v>3.3000000000000003</v>
      </c>
      <c r="H51" s="93">
        <f>(5*0.66)/2</f>
        <v>1.6500000000000001</v>
      </c>
      <c r="I51" s="73">
        <f>(5*0.66)/2</f>
        <v>1.6500000000000001</v>
      </c>
      <c r="J51" s="93">
        <f>(5*0.66)/2</f>
        <v>1.6500000000000001</v>
      </c>
      <c r="K51" s="115">
        <f>(5*0.66)/2</f>
        <v>1.6500000000000001</v>
      </c>
    </row>
    <row r="52" spans="1:11" x14ac:dyDescent="0.2">
      <c r="A52" s="48"/>
      <c r="B52" s="168"/>
      <c r="C52" s="227" t="s">
        <v>426</v>
      </c>
      <c r="D52" s="44" t="s">
        <v>98</v>
      </c>
      <c r="E52" s="18"/>
      <c r="F52" s="18"/>
      <c r="G52" s="73">
        <v>0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427</v>
      </c>
      <c r="D53" s="44" t="s">
        <v>98</v>
      </c>
      <c r="E53" s="18"/>
      <c r="F53" s="18"/>
      <c r="G53" s="145">
        <v>0</v>
      </c>
      <c r="H53" s="146">
        <v>0</v>
      </c>
      <c r="I53" s="145">
        <v>0</v>
      </c>
      <c r="J53" s="146">
        <v>0</v>
      </c>
      <c r="K53" s="147">
        <v>0</v>
      </c>
    </row>
    <row r="54" spans="1:11" ht="13.5" thickBot="1" x14ac:dyDescent="0.25">
      <c r="A54" s="48"/>
      <c r="B54" s="168"/>
      <c r="C54" s="228" t="s">
        <v>244</v>
      </c>
      <c r="D54" s="44" t="s">
        <v>98</v>
      </c>
      <c r="E54" s="18"/>
      <c r="F54" s="18" t="s">
        <v>98</v>
      </c>
      <c r="G54" s="145">
        <f>(24*0.11)/2</f>
        <v>1.32</v>
      </c>
      <c r="H54" s="146">
        <f>(12*0.11)/2</f>
        <v>0.66</v>
      </c>
      <c r="I54" s="145">
        <f>(12*0.11)/2</f>
        <v>0.66</v>
      </c>
      <c r="J54" s="146">
        <f>(12*0.11)/2</f>
        <v>0.66</v>
      </c>
      <c r="K54" s="147">
        <f>(12*0.11)/2</f>
        <v>0.66</v>
      </c>
    </row>
    <row r="55" spans="1:11" x14ac:dyDescent="0.2">
      <c r="A55" s="165" t="s">
        <v>320</v>
      </c>
      <c r="B55" s="169" t="s">
        <v>318</v>
      </c>
      <c r="C55" s="21" t="s">
        <v>241</v>
      </c>
      <c r="D55" s="42" t="s">
        <v>98</v>
      </c>
      <c r="E55" s="22"/>
      <c r="F55" s="22" t="s">
        <v>98</v>
      </c>
      <c r="G55" s="69">
        <v>0</v>
      </c>
      <c r="H55" s="90">
        <v>0</v>
      </c>
      <c r="I55" s="69">
        <v>0</v>
      </c>
      <c r="J55" s="90">
        <v>0</v>
      </c>
      <c r="K55" s="112">
        <v>0</v>
      </c>
    </row>
    <row r="56" spans="1:11" x14ac:dyDescent="0.2">
      <c r="A56" s="48"/>
      <c r="B56" s="48"/>
      <c r="C56" s="13" t="s">
        <v>424</v>
      </c>
      <c r="D56" s="40" t="s">
        <v>98</v>
      </c>
      <c r="E56" s="19"/>
      <c r="F56" s="19"/>
      <c r="G56" s="70">
        <v>0</v>
      </c>
      <c r="H56" s="91">
        <v>0</v>
      </c>
      <c r="I56" s="70">
        <v>0</v>
      </c>
      <c r="J56" s="91">
        <v>0</v>
      </c>
      <c r="K56" s="113">
        <v>0</v>
      </c>
    </row>
    <row r="57" spans="1:11" x14ac:dyDescent="0.2">
      <c r="A57" s="48"/>
      <c r="B57" s="48"/>
      <c r="C57" s="13" t="s">
        <v>242</v>
      </c>
      <c r="D57" s="39" t="s">
        <v>98</v>
      </c>
      <c r="E57" s="17"/>
      <c r="F57" s="17" t="s">
        <v>98</v>
      </c>
      <c r="G57" s="73">
        <v>26</v>
      </c>
      <c r="H57" s="93">
        <v>52</v>
      </c>
      <c r="I57" s="73">
        <v>52</v>
      </c>
      <c r="J57" s="93">
        <v>52</v>
      </c>
      <c r="K57" s="115">
        <v>52</v>
      </c>
    </row>
    <row r="58" spans="1:11" x14ac:dyDescent="0.2">
      <c r="A58" s="48"/>
      <c r="B58" s="48"/>
      <c r="C58" s="13" t="s">
        <v>425</v>
      </c>
      <c r="D58" s="39" t="s">
        <v>98</v>
      </c>
      <c r="E58" s="17"/>
      <c r="F58" s="17"/>
      <c r="G58" s="73">
        <v>0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48"/>
      <c r="C59" s="13" t="s">
        <v>243</v>
      </c>
      <c r="D59" s="39" t="s">
        <v>98</v>
      </c>
      <c r="E59" s="17"/>
      <c r="F59" s="17" t="s">
        <v>98</v>
      </c>
      <c r="G59" s="73">
        <v>26</v>
      </c>
      <c r="H59" s="93">
        <v>52</v>
      </c>
      <c r="I59" s="73">
        <v>52</v>
      </c>
      <c r="J59" s="93">
        <v>52</v>
      </c>
      <c r="K59" s="115">
        <v>52</v>
      </c>
    </row>
    <row r="60" spans="1:11" x14ac:dyDescent="0.2">
      <c r="A60" s="48"/>
      <c r="B60" s="48"/>
      <c r="C60" s="3" t="s">
        <v>426</v>
      </c>
      <c r="D60" s="39" t="s">
        <v>98</v>
      </c>
      <c r="E60" s="18"/>
      <c r="F60" s="18"/>
      <c r="G60" s="145">
        <v>0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48"/>
      <c r="C61" s="3" t="s">
        <v>427</v>
      </c>
      <c r="D61" s="39" t="s">
        <v>98</v>
      </c>
      <c r="E61" s="18"/>
      <c r="F61" s="18"/>
      <c r="G61" s="145">
        <v>0</v>
      </c>
      <c r="H61" s="93">
        <v>0</v>
      </c>
      <c r="I61" s="73">
        <v>0</v>
      </c>
      <c r="J61" s="93">
        <v>0</v>
      </c>
      <c r="K61" s="115">
        <v>0</v>
      </c>
    </row>
    <row r="62" spans="1:11" ht="13.5" thickBot="1" x14ac:dyDescent="0.25">
      <c r="A62" s="48"/>
      <c r="B62" s="48"/>
      <c r="C62" s="12" t="s">
        <v>244</v>
      </c>
      <c r="D62" s="44" t="s">
        <v>98</v>
      </c>
      <c r="E62" s="18"/>
      <c r="F62" s="18" t="s">
        <v>98</v>
      </c>
      <c r="G62" s="145">
        <v>26</v>
      </c>
      <c r="H62" s="93">
        <v>52</v>
      </c>
      <c r="I62" s="73">
        <v>52</v>
      </c>
      <c r="J62" s="93">
        <v>52</v>
      </c>
      <c r="K62" s="115">
        <v>52</v>
      </c>
    </row>
    <row r="63" spans="1:11" x14ac:dyDescent="0.2">
      <c r="A63" s="169" t="s">
        <v>321</v>
      </c>
      <c r="B63" s="169" t="s">
        <v>318</v>
      </c>
      <c r="C63" s="173" t="s">
        <v>241</v>
      </c>
      <c r="D63" s="42" t="s">
        <v>49</v>
      </c>
      <c r="E63" s="22"/>
      <c r="F63" s="22" t="s">
        <v>29</v>
      </c>
      <c r="G63" s="74">
        <f>G55*G47*G11</f>
        <v>0</v>
      </c>
      <c r="H63" s="94">
        <f>H55*H47*H11</f>
        <v>0</v>
      </c>
      <c r="I63" s="74">
        <f>I55*I47*I11</f>
        <v>0</v>
      </c>
      <c r="J63" s="94">
        <f>J55*J47*J11</f>
        <v>0</v>
      </c>
      <c r="K63" s="116">
        <f>K55*K47*K11</f>
        <v>0</v>
      </c>
    </row>
    <row r="64" spans="1:11" x14ac:dyDescent="0.2">
      <c r="A64" s="48"/>
      <c r="B64" s="48"/>
      <c r="C64" s="3" t="s">
        <v>424</v>
      </c>
      <c r="D64" s="40" t="s">
        <v>110</v>
      </c>
      <c r="E64" s="19"/>
      <c r="F64" s="19"/>
      <c r="G64" s="82">
        <f>G56*G48*G6</f>
        <v>0</v>
      </c>
      <c r="H64" s="102">
        <f t="shared" ref="H64:K64" si="13">H56*H48*H6</f>
        <v>0</v>
      </c>
      <c r="I64" s="82">
        <f t="shared" si="13"/>
        <v>0</v>
      </c>
      <c r="J64" s="102">
        <f t="shared" si="13"/>
        <v>0</v>
      </c>
      <c r="K64" s="121">
        <f t="shared" si="13"/>
        <v>0</v>
      </c>
    </row>
    <row r="65" spans="1:11" x14ac:dyDescent="0.2">
      <c r="A65" s="48"/>
      <c r="B65" s="48"/>
      <c r="C65" s="13" t="s">
        <v>242</v>
      </c>
      <c r="D65" s="39" t="s">
        <v>49</v>
      </c>
      <c r="E65" s="17"/>
      <c r="F65" s="17" t="s">
        <v>29</v>
      </c>
      <c r="G65" s="75">
        <f>G57*G49*G11</f>
        <v>52624.000000000007</v>
      </c>
      <c r="H65" s="95">
        <f>H57*H49*H11</f>
        <v>53413.36</v>
      </c>
      <c r="I65" s="75">
        <f>I57*I49*I11</f>
        <v>54214.560400000002</v>
      </c>
      <c r="J65" s="95">
        <f>J57*J49*J11</f>
        <v>55027.778805999988</v>
      </c>
      <c r="K65" s="117">
        <f>K57*K49*K11</f>
        <v>55853.195488089987</v>
      </c>
    </row>
    <row r="66" spans="1:11" x14ac:dyDescent="0.2">
      <c r="A66" s="48"/>
      <c r="B66" s="48"/>
      <c r="C66" s="13" t="s">
        <v>425</v>
      </c>
      <c r="D66" s="39" t="s">
        <v>110</v>
      </c>
      <c r="E66" s="17"/>
      <c r="F66" s="17"/>
      <c r="G66" s="75">
        <f>G58*G50*G6</f>
        <v>0</v>
      </c>
      <c r="H66" s="95">
        <f t="shared" ref="H66:K66" si="14">H58*H50*H6</f>
        <v>0</v>
      </c>
      <c r="I66" s="75">
        <f t="shared" si="14"/>
        <v>0</v>
      </c>
      <c r="J66" s="95">
        <f t="shared" si="14"/>
        <v>0</v>
      </c>
      <c r="K66" s="117">
        <f t="shared" si="14"/>
        <v>0</v>
      </c>
    </row>
    <row r="67" spans="1:11" x14ac:dyDescent="0.2">
      <c r="A67" s="48"/>
      <c r="B67" s="48"/>
      <c r="C67" s="13" t="s">
        <v>243</v>
      </c>
      <c r="D67" s="39" t="s">
        <v>49</v>
      </c>
      <c r="E67" s="17"/>
      <c r="F67" s="17" t="s">
        <v>29</v>
      </c>
      <c r="G67" s="75">
        <f>G59*G51*G11</f>
        <v>377520.00000000006</v>
      </c>
      <c r="H67" s="95">
        <f>H59*H51*H11</f>
        <v>383182.80000000005</v>
      </c>
      <c r="I67" s="75">
        <f>I59*I51*I11</f>
        <v>388930.54200000002</v>
      </c>
      <c r="J67" s="95">
        <f>J59*J51*J11</f>
        <v>394764.50012999994</v>
      </c>
      <c r="K67" s="117">
        <f>K59*K51*K11</f>
        <v>400685.96763194993</v>
      </c>
    </row>
    <row r="68" spans="1:11" x14ac:dyDescent="0.2">
      <c r="A68" s="48"/>
      <c r="B68" s="48"/>
      <c r="C68" s="13" t="s">
        <v>426</v>
      </c>
      <c r="D68" s="39" t="s">
        <v>110</v>
      </c>
      <c r="E68" s="17"/>
      <c r="F68" s="17"/>
      <c r="G68" s="75">
        <f>G60*G52*G6</f>
        <v>0</v>
      </c>
      <c r="H68" s="95">
        <f t="shared" ref="H68:K68" si="15">H60*H52*H6</f>
        <v>0</v>
      </c>
      <c r="I68" s="75">
        <f t="shared" si="15"/>
        <v>0</v>
      </c>
      <c r="J68" s="95">
        <f t="shared" si="15"/>
        <v>0</v>
      </c>
      <c r="K68" s="117">
        <f t="shared" si="15"/>
        <v>0</v>
      </c>
    </row>
    <row r="69" spans="1:11" x14ac:dyDescent="0.2">
      <c r="A69" s="48"/>
      <c r="B69" s="48"/>
      <c r="C69" s="13" t="s">
        <v>427</v>
      </c>
      <c r="D69" s="39" t="s">
        <v>110</v>
      </c>
      <c r="E69" s="17"/>
      <c r="F69" s="17"/>
      <c r="G69" s="75">
        <f>G61*G53*G6</f>
        <v>0</v>
      </c>
      <c r="H69" s="95">
        <f t="shared" ref="H69:K69" si="16">H61*H53*H6</f>
        <v>0</v>
      </c>
      <c r="I69" s="75">
        <f t="shared" si="16"/>
        <v>0</v>
      </c>
      <c r="J69" s="95">
        <f t="shared" si="16"/>
        <v>0</v>
      </c>
      <c r="K69" s="117">
        <f t="shared" si="16"/>
        <v>0</v>
      </c>
    </row>
    <row r="70" spans="1:11" x14ac:dyDescent="0.2">
      <c r="A70" s="48"/>
      <c r="B70" s="48"/>
      <c r="C70" s="13" t="s">
        <v>244</v>
      </c>
      <c r="D70" s="39" t="s">
        <v>49</v>
      </c>
      <c r="E70" s="17"/>
      <c r="F70" s="17" t="s">
        <v>29</v>
      </c>
      <c r="G70" s="75">
        <f>G62*G54*G11</f>
        <v>151008</v>
      </c>
      <c r="H70" s="95">
        <f>H62*H54*H11</f>
        <v>153273.12</v>
      </c>
      <c r="I70" s="75">
        <f>I62*I54*I11</f>
        <v>155572.21679999999</v>
      </c>
      <c r="J70" s="95">
        <f>J62*J54*J11</f>
        <v>157905.80005199998</v>
      </c>
      <c r="K70" s="117">
        <f>K62*K54*K11</f>
        <v>160274.38705277996</v>
      </c>
    </row>
    <row r="71" spans="1:11" x14ac:dyDescent="0.2">
      <c r="A71" s="48"/>
      <c r="B71" s="48"/>
      <c r="C71" s="3" t="s">
        <v>400</v>
      </c>
      <c r="D71" s="44" t="s">
        <v>98</v>
      </c>
      <c r="E71" s="18"/>
      <c r="F71" s="18"/>
      <c r="G71" s="76">
        <f>SUM(G63:G64)</f>
        <v>0</v>
      </c>
      <c r="H71" s="96">
        <f>SUM(H63:H64)</f>
        <v>0</v>
      </c>
      <c r="I71" s="76">
        <f>SUM(I63:I64)</f>
        <v>0</v>
      </c>
      <c r="J71" s="96">
        <f>SUM(J63:J64)</f>
        <v>0</v>
      </c>
      <c r="K71" s="175">
        <f>SUM(K63:K64)</f>
        <v>0</v>
      </c>
    </row>
    <row r="72" spans="1:11" x14ac:dyDescent="0.2">
      <c r="A72" s="48"/>
      <c r="B72" s="48"/>
      <c r="C72" s="3" t="s">
        <v>401</v>
      </c>
      <c r="D72" s="44" t="s">
        <v>98</v>
      </c>
      <c r="E72" s="18"/>
      <c r="F72" s="18"/>
      <c r="G72" s="76">
        <f>SUM(G65:G66)</f>
        <v>52624.000000000007</v>
      </c>
      <c r="H72" s="96">
        <f>SUM(H65:H66)</f>
        <v>53413.36</v>
      </c>
      <c r="I72" s="76">
        <f>SUM(I65:I66)</f>
        <v>54214.560400000002</v>
      </c>
      <c r="J72" s="96">
        <f>SUM(J65:J66)</f>
        <v>55027.778805999988</v>
      </c>
      <c r="K72" s="175">
        <f>SUM(K65:K66)</f>
        <v>55853.195488089987</v>
      </c>
    </row>
    <row r="73" spans="1:11" x14ac:dyDescent="0.2">
      <c r="A73" s="48"/>
      <c r="B73" s="48"/>
      <c r="C73" s="3" t="s">
        <v>402</v>
      </c>
      <c r="D73" s="44" t="s">
        <v>98</v>
      </c>
      <c r="E73" s="18"/>
      <c r="F73" s="18"/>
      <c r="G73" s="76">
        <f>SUM(G67:G68)</f>
        <v>377520.00000000006</v>
      </c>
      <c r="H73" s="96">
        <f>SUM(H67:H68)</f>
        <v>383182.80000000005</v>
      </c>
      <c r="I73" s="76">
        <f>SUM(I67:I68)</f>
        <v>388930.54200000002</v>
      </c>
      <c r="J73" s="96">
        <f>SUM(J67:J68)</f>
        <v>394764.50012999994</v>
      </c>
      <c r="K73" s="175">
        <f>SUM(K67:K68)</f>
        <v>400685.96763194993</v>
      </c>
    </row>
    <row r="74" spans="1:11" x14ac:dyDescent="0.2">
      <c r="A74" s="48"/>
      <c r="B74" s="48"/>
      <c r="C74" s="3" t="s">
        <v>403</v>
      </c>
      <c r="D74" s="44" t="s">
        <v>98</v>
      </c>
      <c r="E74" s="18"/>
      <c r="F74" s="18"/>
      <c r="G74" s="76">
        <f>SUM(G69:G70)</f>
        <v>151008</v>
      </c>
      <c r="H74" s="96">
        <f t="shared" ref="H74:K74" si="17">SUM(H69:H70)</f>
        <v>153273.12</v>
      </c>
      <c r="I74" s="76">
        <f t="shared" si="17"/>
        <v>155572.21679999999</v>
      </c>
      <c r="J74" s="96">
        <f t="shared" si="17"/>
        <v>157905.80005199998</v>
      </c>
      <c r="K74" s="117">
        <f t="shared" si="17"/>
        <v>160274.38705277996</v>
      </c>
    </row>
    <row r="75" spans="1:11" s="50" customFormat="1" ht="13.5" thickBot="1" x14ac:dyDescent="0.25">
      <c r="A75" s="150"/>
      <c r="B75" s="49"/>
      <c r="C75" s="52" t="s">
        <v>48</v>
      </c>
      <c r="D75" s="53" t="s">
        <v>98</v>
      </c>
      <c r="E75" s="54"/>
      <c r="F75" s="54" t="s">
        <v>98</v>
      </c>
      <c r="G75" s="55">
        <f>SUM(G71:G74)</f>
        <v>581152</v>
      </c>
      <c r="H75" s="55">
        <f t="shared" ref="H75:K75" si="18">SUM(H71:H74)</f>
        <v>589869.28</v>
      </c>
      <c r="I75" s="55">
        <f t="shared" si="18"/>
        <v>598717.31920000003</v>
      </c>
      <c r="J75" s="55">
        <f t="shared" si="18"/>
        <v>607698.07898799994</v>
      </c>
      <c r="K75" s="56">
        <f t="shared" si="18"/>
        <v>616813.55017281987</v>
      </c>
    </row>
    <row r="76" spans="1:11" x14ac:dyDescent="0.2">
      <c r="B76" s="169" t="s">
        <v>322</v>
      </c>
      <c r="C76" s="21" t="s">
        <v>42</v>
      </c>
      <c r="D76" s="38" t="s">
        <v>304</v>
      </c>
      <c r="E76" s="22"/>
      <c r="F76" s="22" t="s">
        <v>29</v>
      </c>
      <c r="G76" s="77">
        <v>0</v>
      </c>
      <c r="H76" s="97">
        <v>0</v>
      </c>
      <c r="I76" s="77">
        <v>0</v>
      </c>
      <c r="J76" s="97">
        <v>0</v>
      </c>
      <c r="K76" s="124">
        <v>0</v>
      </c>
    </row>
    <row r="77" spans="1:11" x14ac:dyDescent="0.2">
      <c r="B77" s="48"/>
      <c r="C77" s="3" t="s">
        <v>44</v>
      </c>
      <c r="D77" s="39" t="s">
        <v>303</v>
      </c>
      <c r="E77" s="17"/>
      <c r="F77" s="17" t="s">
        <v>29</v>
      </c>
      <c r="G77" s="78">
        <f>(G41*(G17+G18))+(G42*G16)+(G43*(G17+G18))+(G44*G16)+(G45*G17)+(G46*G16)</f>
        <v>30279</v>
      </c>
      <c r="H77" s="98">
        <f ca="1">(H41*(H17+H18))+(H42*H16)+(H43*(H17+H18))+(H44*H16)+(H45*H17)+(H46*H16)</f>
        <v>18084.254999999997</v>
      </c>
      <c r="I77" s="78">
        <f ca="1">(I41*(I17+I18))+(I42*I16)+(I43*(I17+I18))+(I44*I16)+(I45*I17)+(I46*I16)</f>
        <v>18355.518824999996</v>
      </c>
      <c r="J77" s="98">
        <f ca="1">(J41*(J17+J18))+(J42*J16)+(J43*(J17+J18))+(J44*J16)+(J45*J17)+(J46*J16)</f>
        <v>18630.851607374992</v>
      </c>
      <c r="K77" s="118">
        <f ca="1">(K41*(K17+K18))+(K42*K16)+(K43*(K17+K18))+(K44*K16)+(K45*K17)+(K46*K16)</f>
        <v>18910.314381485616</v>
      </c>
    </row>
    <row r="78" spans="1:11" x14ac:dyDescent="0.2">
      <c r="B78" s="48"/>
      <c r="C78" s="14" t="s">
        <v>45</v>
      </c>
      <c r="D78" s="149" t="s">
        <v>304</v>
      </c>
      <c r="E78" s="25"/>
      <c r="F78" s="25" t="s">
        <v>29</v>
      </c>
      <c r="G78" s="78">
        <v>0</v>
      </c>
      <c r="H78" s="98">
        <v>0</v>
      </c>
      <c r="I78" s="78">
        <v>0</v>
      </c>
      <c r="J78" s="98">
        <v>0</v>
      </c>
      <c r="K78" s="118">
        <v>0</v>
      </c>
    </row>
    <row r="79" spans="1:11" x14ac:dyDescent="0.2">
      <c r="B79" s="48"/>
      <c r="C79" s="14" t="s">
        <v>46</v>
      </c>
      <c r="D79" s="149" t="s">
        <v>304</v>
      </c>
      <c r="E79" s="25"/>
      <c r="F79" s="25" t="s">
        <v>29</v>
      </c>
      <c r="G79" s="78">
        <v>0</v>
      </c>
      <c r="H79" s="98">
        <v>0</v>
      </c>
      <c r="I79" s="78">
        <v>0</v>
      </c>
      <c r="J79" s="98">
        <v>0</v>
      </c>
      <c r="K79" s="118">
        <v>0</v>
      </c>
    </row>
    <row r="80" spans="1:11" x14ac:dyDescent="0.2">
      <c r="B80" s="48"/>
      <c r="C80" s="151" t="s">
        <v>47</v>
      </c>
      <c r="D80" s="148" t="s">
        <v>304</v>
      </c>
      <c r="E80" s="152"/>
      <c r="F80" s="25" t="s">
        <v>29</v>
      </c>
      <c r="G80" s="79">
        <v>0</v>
      </c>
      <c r="H80" s="100">
        <v>0</v>
      </c>
      <c r="I80" s="79">
        <v>0</v>
      </c>
      <c r="J80" s="100">
        <v>0</v>
      </c>
      <c r="K80" s="119">
        <v>0</v>
      </c>
    </row>
    <row r="81" spans="2:17" s="50" customFormat="1" ht="13.5" thickBot="1" x14ac:dyDescent="0.25">
      <c r="B81" s="51"/>
      <c r="C81" s="52" t="s">
        <v>48</v>
      </c>
      <c r="D81" s="57" t="s">
        <v>98</v>
      </c>
      <c r="E81" s="54"/>
      <c r="F81" s="54" t="s">
        <v>98</v>
      </c>
      <c r="G81" s="61">
        <f>SUM(G76:G80)</f>
        <v>30279</v>
      </c>
      <c r="H81" s="61">
        <f ca="1">SUM(H76:H80)</f>
        <v>18084.254999999997</v>
      </c>
      <c r="I81" s="61">
        <f ca="1">SUM(I76:I80)</f>
        <v>18355.518824999996</v>
      </c>
      <c r="J81" s="61">
        <f ca="1">SUM(J76:J80)</f>
        <v>18630.851607374992</v>
      </c>
      <c r="K81" s="62">
        <f ca="1">SUM(K76:K80)</f>
        <v>18910.314381485616</v>
      </c>
    </row>
    <row r="82" spans="2:17" x14ac:dyDescent="0.2">
      <c r="B82" s="169" t="s">
        <v>323</v>
      </c>
      <c r="C82" s="35" t="s">
        <v>50</v>
      </c>
      <c r="D82" s="42" t="s">
        <v>96</v>
      </c>
      <c r="E82" s="22"/>
      <c r="F82" s="22" t="s">
        <v>29</v>
      </c>
      <c r="G82" s="80">
        <v>0</v>
      </c>
      <c r="H82" s="99">
        <v>0</v>
      </c>
      <c r="I82" s="80">
        <v>0</v>
      </c>
      <c r="J82" s="99">
        <v>0</v>
      </c>
      <c r="K82" s="125">
        <v>0</v>
      </c>
    </row>
    <row r="83" spans="2:17" x14ac:dyDescent="0.2">
      <c r="B83" s="48"/>
      <c r="C83" s="14" t="s">
        <v>76</v>
      </c>
      <c r="D83" s="39" t="s">
        <v>96</v>
      </c>
      <c r="E83" s="17"/>
      <c r="F83" s="17" t="s">
        <v>29</v>
      </c>
      <c r="G83" s="78">
        <v>0</v>
      </c>
      <c r="H83" s="98">
        <v>0</v>
      </c>
      <c r="I83" s="78">
        <v>0</v>
      </c>
      <c r="J83" s="98">
        <v>0</v>
      </c>
      <c r="K83" s="118">
        <v>0</v>
      </c>
    </row>
    <row r="84" spans="2:17" x14ac:dyDescent="0.2">
      <c r="B84" s="48"/>
      <c r="C84" s="14" t="s">
        <v>51</v>
      </c>
      <c r="D84" s="39" t="s">
        <v>96</v>
      </c>
      <c r="E84" s="17"/>
      <c r="F84" s="17" t="s">
        <v>29</v>
      </c>
      <c r="G84" s="78">
        <v>0</v>
      </c>
      <c r="H84" s="98">
        <v>0</v>
      </c>
      <c r="I84" s="78">
        <v>0</v>
      </c>
      <c r="J84" s="98">
        <v>0</v>
      </c>
      <c r="K84" s="118">
        <v>0</v>
      </c>
    </row>
    <row r="85" spans="2:17" x14ac:dyDescent="0.2">
      <c r="B85" s="48"/>
      <c r="C85" s="14" t="s">
        <v>52</v>
      </c>
      <c r="D85" s="39" t="s">
        <v>96</v>
      </c>
      <c r="E85" s="17"/>
      <c r="F85" s="17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2:17" s="50" customFormat="1" ht="13.5" thickBot="1" x14ac:dyDescent="0.25">
      <c r="B86" s="51"/>
      <c r="C86" s="52" t="s">
        <v>48</v>
      </c>
      <c r="D86" s="53" t="s">
        <v>98</v>
      </c>
      <c r="E86" s="54"/>
      <c r="F86" s="54" t="s">
        <v>98</v>
      </c>
      <c r="G86" s="61">
        <f>SUM(G82:G85)</f>
        <v>0</v>
      </c>
      <c r="H86" s="61">
        <f>SUM(H82:H85)</f>
        <v>0</v>
      </c>
      <c r="I86" s="61">
        <f>SUM(I82:I85)</f>
        <v>0</v>
      </c>
      <c r="J86" s="61">
        <f>SUM(J82:J85)</f>
        <v>0</v>
      </c>
      <c r="K86" s="62">
        <f>SUM(K82:K85)</f>
        <v>0</v>
      </c>
    </row>
    <row r="88" spans="2:17" ht="13.5" thickBot="1" x14ac:dyDescent="0.25"/>
    <row r="89" spans="2:17" s="50" customFormat="1" x14ac:dyDescent="0.2">
      <c r="C89" s="126" t="s">
        <v>120</v>
      </c>
      <c r="D89" s="127"/>
      <c r="E89" s="128"/>
      <c r="F89" s="129"/>
      <c r="G89" s="134">
        <f>SUM(G75+G81+G86)</f>
        <v>611431</v>
      </c>
      <c r="H89" s="134">
        <f ca="1">SUM(H75+H81+H86)</f>
        <v>607953.53500000003</v>
      </c>
      <c r="I89" s="134">
        <f ca="1">SUM(I75+I81+I86)</f>
        <v>617072.83802500006</v>
      </c>
      <c r="J89" s="134">
        <f ca="1">SUM(J75+J81+J86)</f>
        <v>626328.9305953749</v>
      </c>
      <c r="K89" s="135">
        <f ca="1">SUM(K75+K81+K86)</f>
        <v>635723.86455430544</v>
      </c>
      <c r="M89" s="1"/>
      <c r="N89" s="1"/>
      <c r="O89" s="1"/>
      <c r="P89" s="1"/>
      <c r="Q89" s="1"/>
    </row>
    <row r="90" spans="2:17" ht="13.5" thickBot="1" x14ac:dyDescent="0.25">
      <c r="C90" s="130" t="s">
        <v>121</v>
      </c>
      <c r="D90" s="131"/>
      <c r="E90" s="132"/>
      <c r="F90" s="133"/>
      <c r="G90" s="136">
        <f>G89</f>
        <v>611431</v>
      </c>
      <c r="H90" s="136">
        <f ca="1">G90+H89</f>
        <v>1219384.5350000001</v>
      </c>
      <c r="I90" s="136">
        <f ca="1">H90+I89</f>
        <v>1836457.3730250001</v>
      </c>
      <c r="J90" s="136">
        <f ca="1">I90+J89</f>
        <v>2462786.3036203748</v>
      </c>
      <c r="K90" s="137">
        <f ca="1">J90+K89</f>
        <v>3098510.1681746803</v>
      </c>
    </row>
    <row r="91" spans="2:17" x14ac:dyDescent="0.2">
      <c r="C91" s="32" t="s">
        <v>110</v>
      </c>
      <c r="D91" s="40"/>
      <c r="E91" s="19"/>
      <c r="F91" s="19"/>
      <c r="G91" s="82">
        <f t="shared" ref="G91:K97" si="19">SUMIF($D$3:$D$86,$C91,G$3:G$86)</f>
        <v>0</v>
      </c>
      <c r="H91" s="102">
        <f t="shared" si="19"/>
        <v>0</v>
      </c>
      <c r="I91" s="82">
        <f t="shared" si="19"/>
        <v>0</v>
      </c>
      <c r="J91" s="102">
        <f t="shared" si="19"/>
        <v>0</v>
      </c>
      <c r="K91" s="121">
        <f t="shared" si="19"/>
        <v>0</v>
      </c>
    </row>
    <row r="92" spans="2:17" x14ac:dyDescent="0.2">
      <c r="C92" s="59" t="s">
        <v>111</v>
      </c>
      <c r="D92" s="39"/>
      <c r="E92" s="17"/>
      <c r="F92" s="17"/>
      <c r="G92" s="82">
        <f t="shared" si="19"/>
        <v>0</v>
      </c>
      <c r="H92" s="102">
        <f t="shared" si="19"/>
        <v>0</v>
      </c>
      <c r="I92" s="82">
        <f t="shared" si="19"/>
        <v>0</v>
      </c>
      <c r="J92" s="102">
        <f t="shared" si="19"/>
        <v>0</v>
      </c>
      <c r="K92" s="121">
        <f t="shared" si="19"/>
        <v>0</v>
      </c>
    </row>
    <row r="93" spans="2:17" x14ac:dyDescent="0.2">
      <c r="C93" s="59" t="s">
        <v>112</v>
      </c>
      <c r="D93" s="39"/>
      <c r="E93" s="17"/>
      <c r="F93" s="17"/>
      <c r="G93" s="82">
        <f t="shared" si="19"/>
        <v>0</v>
      </c>
      <c r="H93" s="102">
        <f t="shared" si="19"/>
        <v>0</v>
      </c>
      <c r="I93" s="82">
        <f t="shared" si="19"/>
        <v>0</v>
      </c>
      <c r="J93" s="102">
        <f t="shared" si="19"/>
        <v>0</v>
      </c>
      <c r="K93" s="121">
        <f t="shared" si="19"/>
        <v>0</v>
      </c>
    </row>
    <row r="94" spans="2:17" x14ac:dyDescent="0.2">
      <c r="C94" s="59" t="s">
        <v>113</v>
      </c>
      <c r="D94" s="39"/>
      <c r="E94" s="17"/>
      <c r="F94" s="17"/>
      <c r="G94" s="82">
        <f t="shared" si="19"/>
        <v>0</v>
      </c>
      <c r="H94" s="102">
        <f t="shared" si="19"/>
        <v>0</v>
      </c>
      <c r="I94" s="82">
        <f t="shared" si="19"/>
        <v>0</v>
      </c>
      <c r="J94" s="102">
        <f t="shared" si="19"/>
        <v>0</v>
      </c>
      <c r="K94" s="121">
        <f t="shared" si="19"/>
        <v>0</v>
      </c>
    </row>
    <row r="95" spans="2:17" x14ac:dyDescent="0.2">
      <c r="C95" s="59" t="s">
        <v>49</v>
      </c>
      <c r="D95" s="39"/>
      <c r="E95" s="17"/>
      <c r="F95" s="17"/>
      <c r="G95" s="82">
        <f t="shared" si="19"/>
        <v>581152</v>
      </c>
      <c r="H95" s="102">
        <f t="shared" si="19"/>
        <v>589869.28</v>
      </c>
      <c r="I95" s="82">
        <f t="shared" si="19"/>
        <v>598717.31920000003</v>
      </c>
      <c r="J95" s="102">
        <f t="shared" si="19"/>
        <v>607698.07898799994</v>
      </c>
      <c r="K95" s="121">
        <f t="shared" si="19"/>
        <v>616813.55017281987</v>
      </c>
    </row>
    <row r="96" spans="2:17" x14ac:dyDescent="0.2">
      <c r="C96" s="59" t="s">
        <v>303</v>
      </c>
      <c r="D96" s="39"/>
      <c r="E96" s="17"/>
      <c r="F96" s="17"/>
      <c r="G96" s="82">
        <f t="shared" si="19"/>
        <v>30279</v>
      </c>
      <c r="H96" s="102">
        <f t="shared" ca="1" si="19"/>
        <v>18084.254999999997</v>
      </c>
      <c r="I96" s="82">
        <f t="shared" ca="1" si="19"/>
        <v>18355.518824999996</v>
      </c>
      <c r="J96" s="102">
        <f t="shared" ca="1" si="19"/>
        <v>18630.851607374992</v>
      </c>
      <c r="K96" s="121">
        <f t="shared" ca="1" si="19"/>
        <v>18910.314381485616</v>
      </c>
    </row>
    <row r="97" spans="3:11" x14ac:dyDescent="0.2">
      <c r="C97" s="59" t="s">
        <v>304</v>
      </c>
      <c r="D97" s="39"/>
      <c r="E97" s="17"/>
      <c r="F97" s="17"/>
      <c r="G97" s="82">
        <f t="shared" si="19"/>
        <v>0</v>
      </c>
      <c r="H97" s="102">
        <f t="shared" si="19"/>
        <v>0</v>
      </c>
      <c r="I97" s="82">
        <f t="shared" si="19"/>
        <v>0</v>
      </c>
      <c r="J97" s="102">
        <f t="shared" si="19"/>
        <v>0</v>
      </c>
      <c r="K97" s="121">
        <f t="shared" si="19"/>
        <v>0</v>
      </c>
    </row>
    <row r="98" spans="3:11" s="50" customFormat="1" x14ac:dyDescent="0.2">
      <c r="C98" s="159" t="s">
        <v>53</v>
      </c>
      <c r="D98" s="160"/>
      <c r="E98" s="161"/>
      <c r="F98" s="161"/>
      <c r="G98" s="162">
        <f>SUM(G91:G97)</f>
        <v>611431</v>
      </c>
      <c r="H98" s="163">
        <f t="shared" ref="H98:K98" ca="1" si="20">SUM(H91:H97)</f>
        <v>607953.53500000003</v>
      </c>
      <c r="I98" s="162">
        <f t="shared" ca="1" si="20"/>
        <v>617072.83802500006</v>
      </c>
      <c r="J98" s="163">
        <f t="shared" ca="1" si="20"/>
        <v>626328.9305953749</v>
      </c>
      <c r="K98" s="164">
        <f t="shared" ca="1" si="20"/>
        <v>635723.86455430544</v>
      </c>
    </row>
    <row r="99" spans="3:11" ht="13.5" thickBot="1" x14ac:dyDescent="0.25">
      <c r="C99" s="33" t="s">
        <v>96</v>
      </c>
      <c r="D99" s="41"/>
      <c r="E99" s="31"/>
      <c r="F99" s="31"/>
      <c r="G99" s="81">
        <f>SUMIF($D$3:$D$86,$C99,G$3:G$86)</f>
        <v>0</v>
      </c>
      <c r="H99" s="101">
        <f>SUMIF($D$3:$D$86,$C99,H$3:H$86)</f>
        <v>0</v>
      </c>
      <c r="I99" s="81">
        <f>SUMIF($D$3:$D$86,$C99,I$3:I$86)</f>
        <v>0</v>
      </c>
      <c r="J99" s="101">
        <f>SUMIF($D$3:$D$86,$C99,J$3:J$86)</f>
        <v>0</v>
      </c>
      <c r="K99" s="120">
        <f>SUMIF($D$3:$D$86,$C99,K$3:K$86)</f>
        <v>0</v>
      </c>
    </row>
    <row r="101" spans="3:11" ht="13.5" thickBot="1" x14ac:dyDescent="0.25"/>
    <row r="102" spans="3:11" x14ac:dyDescent="0.2">
      <c r="C102" s="58" t="s">
        <v>114</v>
      </c>
      <c r="D102" s="42"/>
      <c r="E102" s="22"/>
      <c r="F102" s="22"/>
      <c r="G102" s="63"/>
      <c r="H102" s="63"/>
      <c r="I102" s="63"/>
      <c r="J102" s="63"/>
      <c r="K102" s="64"/>
    </row>
    <row r="103" spans="3:11" x14ac:dyDescent="0.2">
      <c r="C103" s="59" t="s">
        <v>54</v>
      </c>
      <c r="D103" s="39"/>
      <c r="E103" s="17"/>
      <c r="F103" s="17"/>
      <c r="G103" s="83">
        <f>G$89/((1+0.03)^G$2)</f>
        <v>593622.33009708731</v>
      </c>
      <c r="H103" s="103">
        <f ca="1">H$89/((1+0.03)^H$2)</f>
        <v>573054.51503440482</v>
      </c>
      <c r="I103" s="83">
        <f ca="1">I$89/((1+0.03)^I$2)</f>
        <v>564709.06093196198</v>
      </c>
      <c r="J103" s="103">
        <f ca="1">J$89/((1+0.03)^J$2)</f>
        <v>556485.1425688751</v>
      </c>
      <c r="K103" s="122">
        <f ca="1">K$89/((1+0.03)^K$2)</f>
        <v>548380.99000719236</v>
      </c>
    </row>
    <row r="104" spans="3:11" x14ac:dyDescent="0.2">
      <c r="C104" s="59" t="s">
        <v>55</v>
      </c>
      <c r="D104" s="39"/>
      <c r="E104" s="17"/>
      <c r="F104" s="17"/>
      <c r="G104" s="83">
        <f>G$89/((1+0.05)^G$2)</f>
        <v>582315.23809523811</v>
      </c>
      <c r="H104" s="103">
        <f ca="1">H$89/((1+0.05)^H$2)</f>
        <v>551431.77777777775</v>
      </c>
      <c r="I104" s="83">
        <f ca="1">I$89/((1+0.05)^I$2)</f>
        <v>533050.71851851849</v>
      </c>
      <c r="J104" s="103">
        <f ca="1">J$89/((1+0.05)^J$2)</f>
        <v>515282.36123456783</v>
      </c>
      <c r="K104" s="122">
        <f ca="1">K$89/((1+0.05)^K$2)</f>
        <v>498106.28252674878</v>
      </c>
    </row>
    <row r="105" spans="3:11" x14ac:dyDescent="0.2">
      <c r="C105" s="59" t="s">
        <v>56</v>
      </c>
      <c r="D105" s="39"/>
      <c r="E105" s="17"/>
      <c r="F105" s="17"/>
      <c r="G105" s="83">
        <f>G$89/((1+0.08)^G$2)</f>
        <v>566139.81481481483</v>
      </c>
      <c r="H105" s="103">
        <f ca="1">H$89/((1+0.08)^H$2)</f>
        <v>521222.16649519891</v>
      </c>
      <c r="I105" s="83">
        <f ca="1">I$89/((1+0.08)^I$2)</f>
        <v>489852.31388206192</v>
      </c>
      <c r="J105" s="103">
        <f ca="1">J$89/((1+0.08)^J$2)</f>
        <v>460370.46165767842</v>
      </c>
      <c r="K105" s="122">
        <f ca="1">K$89/((1+0.08)^K$2)</f>
        <v>432662.98016902176</v>
      </c>
    </row>
    <row r="106" spans="3:11" x14ac:dyDescent="0.2">
      <c r="C106" s="59" t="s">
        <v>57</v>
      </c>
      <c r="D106" s="39"/>
      <c r="E106" s="17"/>
      <c r="F106" s="17"/>
      <c r="G106" s="83">
        <f>G$89/((1+0.1)^G$2)</f>
        <v>555846.36363636365</v>
      </c>
      <c r="H106" s="103">
        <f ca="1">H$89/((1+0.1)^H$2)</f>
        <v>502440.9380165289</v>
      </c>
      <c r="I106" s="83">
        <f ca="1">I$89/((1+0.1)^I$2)</f>
        <v>463615.95644252433</v>
      </c>
      <c r="J106" s="103">
        <f ca="1">J$89/((1+0.1)^J$2)</f>
        <v>427791.08708105644</v>
      </c>
      <c r="K106" s="122">
        <f ca="1">K$89/((1+0.1)^K$2)</f>
        <v>394734.50307933835</v>
      </c>
    </row>
    <row r="107" spans="3:11" ht="13.5" thickBot="1" x14ac:dyDescent="0.25">
      <c r="C107" s="33" t="s">
        <v>58</v>
      </c>
      <c r="D107" s="41"/>
      <c r="E107" s="31"/>
      <c r="F107" s="31"/>
      <c r="G107" s="84">
        <f>G$89/((1+0.12)^G$2)</f>
        <v>545920.53571428568</v>
      </c>
      <c r="H107" s="104">
        <f ca="1">H$89/((1+0.12)^H$2)</f>
        <v>484656.83593749994</v>
      </c>
      <c r="I107" s="84">
        <f ca="1">I$89/((1+0.12)^I$2)</f>
        <v>439220.25756835932</v>
      </c>
      <c r="J107" s="104">
        <f ca="1">J$89/((1+0.12)^J$2)</f>
        <v>398043.35842132551</v>
      </c>
      <c r="K107" s="123">
        <f ca="1">K$89/((1+0.12)^K$2)</f>
        <v>360726.79356932617</v>
      </c>
    </row>
  </sheetData>
  <pageMargins left="0.7" right="0.7" top="0.75" bottom="0.75" header="0.3" footer="0.3"/>
  <pageSetup scale="46" fitToHeight="0" orientation="landscape" r:id="rId1"/>
  <ignoredErrors>
    <ignoredError sqref="G31" evalError="1"/>
    <ignoredError sqref="G41:K43 G98:K98 G45:K45 G4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D3:D86</xm:sqref>
        </x14:dataValidation>
        <x14:dataValidation type="list" allowBlank="1" showInputMessage="1" showErrorMessage="1">
          <x14:formula1>
            <xm:f>'Validation Lists'!$C$2:$C$4</xm:f>
          </x14:formula1>
          <xm:sqref>F3:F86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9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91" style="1" bestFit="1" customWidth="1"/>
    <col min="4" max="4" width="29.5703125" style="37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330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SUM(G47*G56,G50*G59,G53*G62)/52</f>
        <v>0.17067307692307693</v>
      </c>
      <c r="H21" s="93">
        <f t="shared" ref="H21:K21" si="2">SUM(H47*H56,H50*H59,H53*H62)/52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SUM(G48*G57,G51*G60,G54*G63)/52</f>
        <v>0.10576923076923077</v>
      </c>
      <c r="H24" s="93">
        <f t="shared" ref="H24:K24" si="3">SUM(H48*H57,H51*H60,H54*H63)/52</f>
        <v>0</v>
      </c>
      <c r="I24" s="73">
        <f t="shared" si="3"/>
        <v>0</v>
      </c>
      <c r="J24" s="93">
        <f t="shared" si="3"/>
        <v>0</v>
      </c>
      <c r="K24" s="115">
        <f t="shared" si="3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f>SUM(K50*K59)/52</f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SUM(G49*G58,G52*G61,G55*G64)/52</f>
        <v>5.7692307692307696E-2</v>
      </c>
      <c r="H28" s="93">
        <f t="shared" ref="H28:K28" si="4">SUM(H49*H58,H52*H61,H55*H64)/52</f>
        <v>0</v>
      </c>
      <c r="I28" s="73">
        <f t="shared" si="4"/>
        <v>0</v>
      </c>
      <c r="J28" s="93">
        <f t="shared" si="4"/>
        <v>0</v>
      </c>
      <c r="K28" s="115">
        <f t="shared" si="4"/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5">ROUND(H19,0)+ROUND(H20,0)+ROUND(H21,0)+ROUND(H22,0)+ROUND(H23,0)+ROUND(H24,0)+ROUND(H25,0)+ROUND(H26,0)+ROUND(H27,0)+ROUND(H28,0)+ROUND(H29,0)+ROUND(H30,0)</f>
        <v>0</v>
      </c>
      <c r="I31" s="71">
        <f t="shared" si="5"/>
        <v>0</v>
      </c>
      <c r="J31" s="92">
        <f t="shared" si="5"/>
        <v>0</v>
      </c>
      <c r="K31" s="114">
        <f t="shared" si="5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G47+G50+G53</f>
        <v>3.625</v>
      </c>
      <c r="H32" s="90">
        <f t="shared" ref="H32:K32" si="6">H47+H50+H53</f>
        <v>0</v>
      </c>
      <c r="I32" s="69">
        <f t="shared" si="6"/>
        <v>0</v>
      </c>
      <c r="J32" s="90">
        <f t="shared" si="6"/>
        <v>0</v>
      </c>
      <c r="K32" s="112">
        <f t="shared" si="6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G48+G51+G54</f>
        <v>2.5</v>
      </c>
      <c r="H34" s="93">
        <f t="shared" ref="H34:K34" si="7">H48+H51+H54</f>
        <v>0</v>
      </c>
      <c r="I34" s="73">
        <f t="shared" si="7"/>
        <v>0</v>
      </c>
      <c r="J34" s="93">
        <f t="shared" si="7"/>
        <v>0</v>
      </c>
      <c r="K34" s="115">
        <f t="shared" si="7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7</v>
      </c>
      <c r="H38" s="93">
        <f t="shared" ref="H38:K38" si="8">ROUNDUP(H32+H33+H34+H35+H36-H37,0)</f>
        <v>0</v>
      </c>
      <c r="I38" s="73">
        <f t="shared" si="8"/>
        <v>0</v>
      </c>
      <c r="J38" s="93">
        <f t="shared" si="8"/>
        <v>0</v>
      </c>
      <c r="K38" s="115">
        <f t="shared" si="8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9">H39</f>
        <v>0</v>
      </c>
      <c r="I40" s="73">
        <f t="shared" si="9"/>
        <v>0</v>
      </c>
      <c r="J40" s="93">
        <f t="shared" si="9"/>
        <v>0</v>
      </c>
      <c r="K40" s="115">
        <f t="shared" si="9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10">ROUND(H21,0)+ROUND(H22,0)+ROUND(H23,0)+ROUND(H24,0)+ROUND(H25,0)+ROUND(H26,0)-ROUND(H36,0)</f>
        <v>0</v>
      </c>
      <c r="I43" s="73">
        <f t="shared" si="10"/>
        <v>0</v>
      </c>
      <c r="J43" s="93">
        <f t="shared" si="10"/>
        <v>0</v>
      </c>
      <c r="K43" s="115">
        <f t="shared" si="10"/>
        <v>0</v>
      </c>
    </row>
    <row r="44" spans="1:11" x14ac:dyDescent="0.2">
      <c r="A44" s="167"/>
      <c r="B44" s="168"/>
      <c r="C44" s="3" t="s">
        <v>409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0</v>
      </c>
      <c r="I44" s="73">
        <f ca="1">IF(I44-H44&gt;0,I44-H44,0)</f>
        <v>0</v>
      </c>
      <c r="J44" s="93">
        <f ca="1">IF(J44-I44&gt;0,J44-I44,0)</f>
        <v>0</v>
      </c>
      <c r="K44" s="115">
        <f ca="1">IF(K44-J44&gt;0,K44-J44,0)</f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317</v>
      </c>
      <c r="B47" s="168" t="s">
        <v>318</v>
      </c>
      <c r="C47" s="227" t="s">
        <v>178</v>
      </c>
      <c r="D47" s="40" t="s">
        <v>98</v>
      </c>
      <c r="E47" s="19"/>
      <c r="F47" s="19" t="s">
        <v>98</v>
      </c>
      <c r="G47" s="70">
        <v>1.125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4" t="s">
        <v>179</v>
      </c>
      <c r="D48" s="39" t="s">
        <v>98</v>
      </c>
      <c r="E48" s="17"/>
      <c r="F48" s="17" t="s">
        <v>98</v>
      </c>
      <c r="G48" s="73">
        <v>1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14" t="s">
        <v>180</v>
      </c>
      <c r="D49" s="39" t="s">
        <v>98</v>
      </c>
      <c r="E49" s="17"/>
      <c r="F49" s="17" t="s">
        <v>98</v>
      </c>
      <c r="G49" s="73">
        <v>0.5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181</v>
      </c>
      <c r="D50" s="39" t="s">
        <v>98</v>
      </c>
      <c r="E50" s="17"/>
      <c r="F50" s="17" t="s">
        <v>98</v>
      </c>
      <c r="G50" s="73">
        <v>0.75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182</v>
      </c>
      <c r="D51" s="39" t="s">
        <v>98</v>
      </c>
      <c r="E51" s="17"/>
      <c r="F51" s="17" t="s">
        <v>98</v>
      </c>
      <c r="G51" s="73">
        <v>0.5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183</v>
      </c>
      <c r="D52" s="39" t="s">
        <v>98</v>
      </c>
      <c r="E52" s="17"/>
      <c r="F52" s="17" t="s">
        <v>98</v>
      </c>
      <c r="G52" s="73">
        <v>0.5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184</v>
      </c>
      <c r="D53" s="39" t="s">
        <v>98</v>
      </c>
      <c r="E53" s="17"/>
      <c r="F53" s="17" t="s">
        <v>98</v>
      </c>
      <c r="G53" s="73">
        <v>1.75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185</v>
      </c>
      <c r="D54" s="39" t="s">
        <v>98</v>
      </c>
      <c r="E54" s="17"/>
      <c r="F54" s="17" t="s">
        <v>98</v>
      </c>
      <c r="G54" s="73">
        <v>1</v>
      </c>
      <c r="H54" s="93">
        <v>0</v>
      </c>
      <c r="I54" s="73">
        <v>0</v>
      </c>
      <c r="J54" s="93">
        <v>0</v>
      </c>
      <c r="K54" s="115">
        <v>0</v>
      </c>
    </row>
    <row r="55" spans="1:11" ht="13.5" thickBot="1" x14ac:dyDescent="0.25">
      <c r="A55" s="48"/>
      <c r="B55" s="49"/>
      <c r="C55" s="225" t="s">
        <v>186</v>
      </c>
      <c r="D55" s="43" t="s">
        <v>98</v>
      </c>
      <c r="E55" s="31"/>
      <c r="F55" s="31" t="s">
        <v>98</v>
      </c>
      <c r="G55" s="71">
        <v>0.5</v>
      </c>
      <c r="H55" s="92">
        <v>0</v>
      </c>
      <c r="I55" s="71">
        <v>0</v>
      </c>
      <c r="J55" s="92">
        <v>0</v>
      </c>
      <c r="K55" s="114">
        <v>0</v>
      </c>
    </row>
    <row r="56" spans="1:11" x14ac:dyDescent="0.2">
      <c r="A56" s="165" t="s">
        <v>320</v>
      </c>
      <c r="B56" s="48" t="s">
        <v>318</v>
      </c>
      <c r="C56" s="13" t="s">
        <v>178</v>
      </c>
      <c r="D56" s="42" t="s">
        <v>98</v>
      </c>
      <c r="E56" s="17"/>
      <c r="F56" s="17" t="s">
        <v>98</v>
      </c>
      <c r="G56" s="73">
        <v>1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167"/>
      <c r="B57" s="48"/>
      <c r="C57" s="3" t="s">
        <v>179</v>
      </c>
      <c r="D57" s="39" t="s">
        <v>98</v>
      </c>
      <c r="E57" s="17"/>
      <c r="F57" s="17" t="s">
        <v>98</v>
      </c>
      <c r="G57" s="73">
        <v>1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167"/>
      <c r="B58" s="48"/>
      <c r="C58" s="3" t="s">
        <v>180</v>
      </c>
      <c r="D58" s="39" t="s">
        <v>98</v>
      </c>
      <c r="E58" s="17"/>
      <c r="F58" s="17" t="s">
        <v>98</v>
      </c>
      <c r="G58" s="73">
        <v>1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167"/>
      <c r="B59" s="48"/>
      <c r="C59" s="3" t="s">
        <v>181</v>
      </c>
      <c r="D59" s="39" t="s">
        <v>98</v>
      </c>
      <c r="E59" s="17"/>
      <c r="F59" s="17" t="s">
        <v>98</v>
      </c>
      <c r="G59" s="73">
        <v>1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167"/>
      <c r="B60" s="48"/>
      <c r="C60" s="3" t="s">
        <v>182</v>
      </c>
      <c r="D60" s="39" t="s">
        <v>98</v>
      </c>
      <c r="E60" s="17"/>
      <c r="F60" s="17" t="s">
        <v>98</v>
      </c>
      <c r="G60" s="73">
        <v>1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167"/>
      <c r="B61" s="48"/>
      <c r="C61" s="3" t="s">
        <v>183</v>
      </c>
      <c r="D61" s="39" t="s">
        <v>98</v>
      </c>
      <c r="E61" s="17"/>
      <c r="F61" s="17" t="s">
        <v>98</v>
      </c>
      <c r="G61" s="73">
        <v>1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167"/>
      <c r="B62" s="48"/>
      <c r="C62" s="3" t="s">
        <v>184</v>
      </c>
      <c r="D62" s="39" t="s">
        <v>98</v>
      </c>
      <c r="E62" s="17"/>
      <c r="F62" s="17" t="s">
        <v>98</v>
      </c>
      <c r="G62" s="73">
        <v>4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167"/>
      <c r="B63" s="48"/>
      <c r="C63" s="3" t="s">
        <v>185</v>
      </c>
      <c r="D63" s="39" t="s">
        <v>98</v>
      </c>
      <c r="E63" s="17"/>
      <c r="F63" s="17" t="s">
        <v>98</v>
      </c>
      <c r="G63" s="73">
        <v>4</v>
      </c>
      <c r="H63" s="93">
        <v>0</v>
      </c>
      <c r="I63" s="73">
        <v>0</v>
      </c>
      <c r="J63" s="93">
        <v>0</v>
      </c>
      <c r="K63" s="115">
        <v>0</v>
      </c>
    </row>
    <row r="64" spans="1:11" ht="13.5" thickBot="1" x14ac:dyDescent="0.25">
      <c r="A64" s="150"/>
      <c r="B64" s="51"/>
      <c r="C64" s="30" t="s">
        <v>186</v>
      </c>
      <c r="D64" s="144" t="s">
        <v>98</v>
      </c>
      <c r="E64" s="31"/>
      <c r="F64" s="31" t="s">
        <v>98</v>
      </c>
      <c r="G64" s="71">
        <v>4</v>
      </c>
      <c r="H64" s="92">
        <v>0</v>
      </c>
      <c r="I64" s="71">
        <v>0</v>
      </c>
      <c r="J64" s="92">
        <v>0</v>
      </c>
      <c r="K64" s="114">
        <v>0</v>
      </c>
    </row>
    <row r="65" spans="1:11" x14ac:dyDescent="0.2">
      <c r="A65" s="165" t="s">
        <v>321</v>
      </c>
      <c r="B65" s="48" t="s">
        <v>318</v>
      </c>
      <c r="C65" s="3" t="s">
        <v>178</v>
      </c>
      <c r="D65" s="40" t="s">
        <v>110</v>
      </c>
      <c r="E65" s="17"/>
      <c r="F65" s="17" t="s">
        <v>29</v>
      </c>
      <c r="G65" s="75">
        <f>G56*G47*G5</f>
        <v>1998</v>
      </c>
      <c r="H65" s="95">
        <f>H56*H47*H5</f>
        <v>0</v>
      </c>
      <c r="I65" s="75">
        <f>I56*I47*I5</f>
        <v>0</v>
      </c>
      <c r="J65" s="95">
        <f>J56*J47*J5</f>
        <v>0</v>
      </c>
      <c r="K65" s="117">
        <f>K56*K47*K5</f>
        <v>0</v>
      </c>
    </row>
    <row r="66" spans="1:11" x14ac:dyDescent="0.2">
      <c r="A66" s="167"/>
      <c r="B66" s="48"/>
      <c r="C66" s="3" t="s">
        <v>179</v>
      </c>
      <c r="D66" s="39" t="s">
        <v>112</v>
      </c>
      <c r="E66" s="17"/>
      <c r="F66" s="17" t="s">
        <v>29</v>
      </c>
      <c r="G66" s="75">
        <f>G57*G48*G8</f>
        <v>1890</v>
      </c>
      <c r="H66" s="95">
        <f>H57*H48*H8</f>
        <v>0</v>
      </c>
      <c r="I66" s="75">
        <f>I57*I48*I8</f>
        <v>0</v>
      </c>
      <c r="J66" s="95">
        <f>J57*J48*J8</f>
        <v>0</v>
      </c>
      <c r="K66" s="117">
        <f>K57*K48*K8</f>
        <v>0</v>
      </c>
    </row>
    <row r="67" spans="1:11" x14ac:dyDescent="0.2">
      <c r="A67" s="167"/>
      <c r="B67" s="48"/>
      <c r="C67" s="3" t="s">
        <v>180</v>
      </c>
      <c r="D67" s="39" t="s">
        <v>49</v>
      </c>
      <c r="E67" s="17"/>
      <c r="F67" s="17" t="s">
        <v>29</v>
      </c>
      <c r="G67" s="75">
        <f>G58*G49*G12</f>
        <v>3600</v>
      </c>
      <c r="H67" s="95">
        <f>H58*H49*H12</f>
        <v>0</v>
      </c>
      <c r="I67" s="75">
        <f>I58*I49*I12</f>
        <v>0</v>
      </c>
      <c r="J67" s="95">
        <f>J58*J49*J12</f>
        <v>0</v>
      </c>
      <c r="K67" s="117">
        <f>K58*K49*K12</f>
        <v>0</v>
      </c>
    </row>
    <row r="68" spans="1:11" x14ac:dyDescent="0.2">
      <c r="A68" s="167"/>
      <c r="B68" s="48"/>
      <c r="C68" s="3" t="s">
        <v>181</v>
      </c>
      <c r="D68" s="39" t="s">
        <v>110</v>
      </c>
      <c r="E68" s="17"/>
      <c r="F68" s="17" t="s">
        <v>29</v>
      </c>
      <c r="G68" s="75">
        <f>G59*G50*G5</f>
        <v>1332</v>
      </c>
      <c r="H68" s="95">
        <f>H59*H50*H5</f>
        <v>0</v>
      </c>
      <c r="I68" s="75">
        <f>I59*I50*I5</f>
        <v>0</v>
      </c>
      <c r="J68" s="95">
        <f>J59*J50*J5</f>
        <v>0</v>
      </c>
      <c r="K68" s="117">
        <f>K59*K50*K5</f>
        <v>0</v>
      </c>
    </row>
    <row r="69" spans="1:11" x14ac:dyDescent="0.2">
      <c r="A69" s="167"/>
      <c r="B69" s="48"/>
      <c r="C69" s="3" t="s">
        <v>182</v>
      </c>
      <c r="D69" s="39" t="s">
        <v>112</v>
      </c>
      <c r="E69" s="17"/>
      <c r="F69" s="17" t="s">
        <v>29</v>
      </c>
      <c r="G69" s="75">
        <f>G60*G51*G8</f>
        <v>945</v>
      </c>
      <c r="H69" s="95">
        <f>H60*H51*H8</f>
        <v>0</v>
      </c>
      <c r="I69" s="75">
        <f>I60*I51*I8</f>
        <v>0</v>
      </c>
      <c r="J69" s="95">
        <f>J60*J51*J8</f>
        <v>0</v>
      </c>
      <c r="K69" s="117">
        <f>K60*K51*K8</f>
        <v>0</v>
      </c>
    </row>
    <row r="70" spans="1:11" x14ac:dyDescent="0.2">
      <c r="A70" s="167"/>
      <c r="B70" s="48"/>
      <c r="C70" s="3" t="s">
        <v>183</v>
      </c>
      <c r="D70" s="39" t="s">
        <v>49</v>
      </c>
      <c r="E70" s="17"/>
      <c r="F70" s="17" t="s">
        <v>29</v>
      </c>
      <c r="G70" s="75">
        <f>G61*G52*G12</f>
        <v>3600</v>
      </c>
      <c r="H70" s="95">
        <f>H61*H52*H12</f>
        <v>0</v>
      </c>
      <c r="I70" s="75">
        <f>I61*I52*I12</f>
        <v>0</v>
      </c>
      <c r="J70" s="95">
        <f>J61*J52*J12</f>
        <v>0</v>
      </c>
      <c r="K70" s="117">
        <f>K61*K52*K12</f>
        <v>0</v>
      </c>
    </row>
    <row r="71" spans="1:11" x14ac:dyDescent="0.2">
      <c r="A71" s="167"/>
      <c r="B71" s="48"/>
      <c r="C71" s="3" t="s">
        <v>184</v>
      </c>
      <c r="D71" s="39" t="s">
        <v>110</v>
      </c>
      <c r="E71" s="17"/>
      <c r="F71" s="17" t="s">
        <v>29</v>
      </c>
      <c r="G71" s="75">
        <f>G62*G53*G5</f>
        <v>12432</v>
      </c>
      <c r="H71" s="95">
        <f>H62*H53*H5</f>
        <v>0</v>
      </c>
      <c r="I71" s="75">
        <f>I62*I53*I5</f>
        <v>0</v>
      </c>
      <c r="J71" s="95">
        <f>J62*J53*J5</f>
        <v>0</v>
      </c>
      <c r="K71" s="117">
        <f>K62*K53*K5</f>
        <v>0</v>
      </c>
    </row>
    <row r="72" spans="1:11" x14ac:dyDescent="0.2">
      <c r="A72" s="167"/>
      <c r="B72" s="48"/>
      <c r="C72" s="3" t="s">
        <v>185</v>
      </c>
      <c r="D72" s="39" t="s">
        <v>112</v>
      </c>
      <c r="E72" s="17"/>
      <c r="F72" s="17" t="s">
        <v>29</v>
      </c>
      <c r="G72" s="75">
        <f>G63*G54*G8</f>
        <v>7560</v>
      </c>
      <c r="H72" s="95">
        <f>H63*H54*H8</f>
        <v>0</v>
      </c>
      <c r="I72" s="75">
        <f>I63*I54*I8</f>
        <v>0</v>
      </c>
      <c r="J72" s="95">
        <f>J63*J54*J8</f>
        <v>0</v>
      </c>
      <c r="K72" s="117">
        <f>K63*K54*K8</f>
        <v>0</v>
      </c>
    </row>
    <row r="73" spans="1:11" x14ac:dyDescent="0.2">
      <c r="A73" s="167"/>
      <c r="B73" s="48"/>
      <c r="C73" s="3" t="s">
        <v>186</v>
      </c>
      <c r="D73" s="39" t="s">
        <v>49</v>
      </c>
      <c r="E73" s="17"/>
      <c r="F73" s="17" t="s">
        <v>29</v>
      </c>
      <c r="G73" s="75">
        <f>G64*G55*G12</f>
        <v>14400</v>
      </c>
      <c r="H73" s="95">
        <f>H64*H55*H12</f>
        <v>0</v>
      </c>
      <c r="I73" s="75">
        <f>I64*I55*I12</f>
        <v>0</v>
      </c>
      <c r="J73" s="95">
        <f>J64*J55*J12</f>
        <v>0</v>
      </c>
      <c r="K73" s="117">
        <f>K64*K55*K12</f>
        <v>0</v>
      </c>
    </row>
    <row r="74" spans="1:11" x14ac:dyDescent="0.2">
      <c r="A74" s="167"/>
      <c r="B74" s="168"/>
      <c r="C74" s="3" t="s">
        <v>397</v>
      </c>
      <c r="D74" s="39" t="s">
        <v>98</v>
      </c>
      <c r="E74" s="17"/>
      <c r="F74" s="17" t="s">
        <v>98</v>
      </c>
      <c r="G74" s="75">
        <f>SUM(G65:G67)</f>
        <v>7488</v>
      </c>
      <c r="H74" s="95">
        <f t="shared" ref="H74:K74" si="11">SUM(H65:H67)</f>
        <v>0</v>
      </c>
      <c r="I74" s="75">
        <f t="shared" si="11"/>
        <v>0</v>
      </c>
      <c r="J74" s="95">
        <f t="shared" si="11"/>
        <v>0</v>
      </c>
      <c r="K74" s="117">
        <f t="shared" si="11"/>
        <v>0</v>
      </c>
    </row>
    <row r="75" spans="1:11" x14ac:dyDescent="0.2">
      <c r="A75" s="167"/>
      <c r="B75" s="168"/>
      <c r="C75" s="3" t="s">
        <v>398</v>
      </c>
      <c r="D75" s="39" t="s">
        <v>98</v>
      </c>
      <c r="E75" s="17"/>
      <c r="F75" s="17" t="s">
        <v>98</v>
      </c>
      <c r="G75" s="75">
        <f>SUM(G68:G70)</f>
        <v>5877</v>
      </c>
      <c r="H75" s="95">
        <f t="shared" ref="H75:K75" si="12">SUM(H68:H70)</f>
        <v>0</v>
      </c>
      <c r="I75" s="75">
        <f t="shared" si="12"/>
        <v>0</v>
      </c>
      <c r="J75" s="95">
        <f t="shared" si="12"/>
        <v>0</v>
      </c>
      <c r="K75" s="117">
        <f t="shared" si="12"/>
        <v>0</v>
      </c>
    </row>
    <row r="76" spans="1:11" x14ac:dyDescent="0.2">
      <c r="A76" s="167"/>
      <c r="B76" s="168"/>
      <c r="C76" s="11" t="s">
        <v>399</v>
      </c>
      <c r="D76" s="44" t="s">
        <v>98</v>
      </c>
      <c r="E76" s="18"/>
      <c r="F76" s="18" t="s">
        <v>98</v>
      </c>
      <c r="G76" s="76">
        <f>SUM(G71:G73)</f>
        <v>34392</v>
      </c>
      <c r="H76" s="96">
        <f t="shared" ref="H76:K76" si="13">SUM(H71:H73)</f>
        <v>0</v>
      </c>
      <c r="I76" s="76">
        <f t="shared" si="13"/>
        <v>0</v>
      </c>
      <c r="J76" s="96">
        <f t="shared" si="13"/>
        <v>0</v>
      </c>
      <c r="K76" s="175">
        <f t="shared" si="13"/>
        <v>0</v>
      </c>
    </row>
    <row r="77" spans="1:11" s="50" customFormat="1" ht="13.5" thickBot="1" x14ac:dyDescent="0.25">
      <c r="A77" s="150"/>
      <c r="B77" s="49"/>
      <c r="C77" s="52" t="s">
        <v>48</v>
      </c>
      <c r="D77" s="53" t="s">
        <v>98</v>
      </c>
      <c r="E77" s="54"/>
      <c r="F77" s="54" t="s">
        <v>98</v>
      </c>
      <c r="G77" s="55">
        <f>SUM(G74:G76)</f>
        <v>47757</v>
      </c>
      <c r="H77" s="55">
        <f>SUM(H74:H76)</f>
        <v>0</v>
      </c>
      <c r="I77" s="55">
        <f>SUM(I74:I76)</f>
        <v>0</v>
      </c>
      <c r="J77" s="55">
        <f>SUM(J74:J76)</f>
        <v>0</v>
      </c>
      <c r="K77" s="56">
        <f>SUM(K74:K76)</f>
        <v>0</v>
      </c>
    </row>
    <row r="78" spans="1:11" x14ac:dyDescent="0.2">
      <c r="B78" s="169" t="s">
        <v>322</v>
      </c>
      <c r="C78" s="21" t="s">
        <v>42</v>
      </c>
      <c r="D78" s="38" t="s">
        <v>304</v>
      </c>
      <c r="E78" s="22"/>
      <c r="F78" s="22" t="s">
        <v>29</v>
      </c>
      <c r="G78" s="77">
        <v>0</v>
      </c>
      <c r="H78" s="97">
        <v>0</v>
      </c>
      <c r="I78" s="77">
        <v>0</v>
      </c>
      <c r="J78" s="97">
        <v>0</v>
      </c>
      <c r="K78" s="124">
        <v>0</v>
      </c>
    </row>
    <row r="79" spans="1:11" x14ac:dyDescent="0.2">
      <c r="B79" s="48"/>
      <c r="C79" s="3" t="s">
        <v>44</v>
      </c>
      <c r="D79" s="39" t="s">
        <v>303</v>
      </c>
      <c r="E79" s="17"/>
      <c r="F79" s="17" t="s">
        <v>29</v>
      </c>
      <c r="G79" s="78">
        <f>(G41*(G17+G18))+(G42*G16)+(G43*(G17+G18))+(G44*G16)+(G45*G17)+(G46*G16)</f>
        <v>0</v>
      </c>
      <c r="H79" s="98">
        <f ca="1">(H41*(H17+H18))+(H42*H16)+(H43*(H17+H18))+(H44*H16)+(H45*H17)+(H46*H16)</f>
        <v>0</v>
      </c>
      <c r="I79" s="78">
        <f ca="1">(I41*(I17+I18))+(I42*I16)+(I43*(I17+I18))+(I44*I16)+(I45*I17)+(I46*I16)</f>
        <v>0</v>
      </c>
      <c r="J79" s="98">
        <f ca="1">(J41*(J17+J18))+(J42*J16)+(J43*(J17+J18))+(J44*J16)+(J45*J17)+(J46*J16)</f>
        <v>0</v>
      </c>
      <c r="K79" s="118">
        <f ca="1">(K41*(K17+K18))+(K42*K16)+(K43*(K17+K18))+(K44*K16)+(K45*K17)+(K46*K16)</f>
        <v>0</v>
      </c>
    </row>
    <row r="80" spans="1:11" x14ac:dyDescent="0.2">
      <c r="B80" s="48"/>
      <c r="C80" s="153" t="s">
        <v>45</v>
      </c>
      <c r="D80" s="154" t="s">
        <v>304</v>
      </c>
      <c r="E80" s="155"/>
      <c r="F80" s="155" t="s">
        <v>29</v>
      </c>
      <c r="G80" s="78">
        <v>0</v>
      </c>
      <c r="H80" s="98">
        <v>0</v>
      </c>
      <c r="I80" s="78">
        <v>0</v>
      </c>
      <c r="J80" s="98">
        <v>0</v>
      </c>
      <c r="K80" s="118">
        <v>0</v>
      </c>
    </row>
    <row r="81" spans="2:17" x14ac:dyDescent="0.2">
      <c r="B81" s="48"/>
      <c r="C81" s="14" t="s">
        <v>46</v>
      </c>
      <c r="D81" s="154" t="s">
        <v>304</v>
      </c>
      <c r="E81" s="155"/>
      <c r="F81" s="155" t="s">
        <v>29</v>
      </c>
      <c r="G81" s="78">
        <v>0</v>
      </c>
      <c r="H81" s="98">
        <v>0</v>
      </c>
      <c r="I81" s="78">
        <v>0</v>
      </c>
      <c r="J81" s="98">
        <v>0</v>
      </c>
      <c r="K81" s="118">
        <v>0</v>
      </c>
    </row>
    <row r="82" spans="2:17" x14ac:dyDescent="0.2">
      <c r="B82" s="48"/>
      <c r="C82" s="151" t="s">
        <v>47</v>
      </c>
      <c r="D82" s="154" t="s">
        <v>304</v>
      </c>
      <c r="E82" s="156"/>
      <c r="F82" s="155" t="s">
        <v>29</v>
      </c>
      <c r="G82" s="79">
        <v>0</v>
      </c>
      <c r="H82" s="100">
        <v>0</v>
      </c>
      <c r="I82" s="79">
        <v>0</v>
      </c>
      <c r="J82" s="100">
        <v>0</v>
      </c>
      <c r="K82" s="119">
        <v>0</v>
      </c>
    </row>
    <row r="83" spans="2:17" s="50" customFormat="1" ht="13.5" thickBot="1" x14ac:dyDescent="0.25">
      <c r="B83" s="51"/>
      <c r="C83" s="52" t="s">
        <v>48</v>
      </c>
      <c r="D83" s="57" t="s">
        <v>98</v>
      </c>
      <c r="E83" s="54"/>
      <c r="F83" s="54" t="s">
        <v>98</v>
      </c>
      <c r="G83" s="61">
        <f>SUM(G78:G82)</f>
        <v>0</v>
      </c>
      <c r="H83" s="61">
        <f ca="1">SUM(H78:H82)</f>
        <v>0</v>
      </c>
      <c r="I83" s="61">
        <f ca="1">SUM(I78:I82)</f>
        <v>0</v>
      </c>
      <c r="J83" s="61">
        <f ca="1">SUM(J78:J82)</f>
        <v>0</v>
      </c>
      <c r="K83" s="62">
        <f ca="1">SUM(K78:K82)</f>
        <v>0</v>
      </c>
    </row>
    <row r="84" spans="2:17" x14ac:dyDescent="0.2">
      <c r="B84" s="169" t="s">
        <v>323</v>
      </c>
      <c r="C84" s="35" t="s">
        <v>50</v>
      </c>
      <c r="D84" s="42" t="s">
        <v>96</v>
      </c>
      <c r="E84" s="22"/>
      <c r="F84" s="22" t="s">
        <v>29</v>
      </c>
      <c r="G84" s="80">
        <v>0</v>
      </c>
      <c r="H84" s="99">
        <v>0</v>
      </c>
      <c r="I84" s="80">
        <v>0</v>
      </c>
      <c r="J84" s="99">
        <v>0</v>
      </c>
      <c r="K84" s="125">
        <v>0</v>
      </c>
    </row>
    <row r="85" spans="2:17" x14ac:dyDescent="0.2">
      <c r="B85" s="48"/>
      <c r="C85" s="14" t="s">
        <v>76</v>
      </c>
      <c r="D85" s="39" t="s">
        <v>96</v>
      </c>
      <c r="E85" s="17"/>
      <c r="F85" s="17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2:17" x14ac:dyDescent="0.2">
      <c r="B86" s="48"/>
      <c r="C86" s="14" t="s">
        <v>51</v>
      </c>
      <c r="D86" s="39" t="s">
        <v>96</v>
      </c>
      <c r="E86" s="17"/>
      <c r="F86" s="17" t="s">
        <v>29</v>
      </c>
      <c r="G86" s="78">
        <v>0</v>
      </c>
      <c r="H86" s="98">
        <v>0</v>
      </c>
      <c r="I86" s="78">
        <v>0</v>
      </c>
      <c r="J86" s="98">
        <v>0</v>
      </c>
      <c r="K86" s="118">
        <v>0</v>
      </c>
    </row>
    <row r="87" spans="2:17" x14ac:dyDescent="0.2">
      <c r="B87" s="48"/>
      <c r="C87" s="14" t="s">
        <v>52</v>
      </c>
      <c r="D87" s="39" t="s">
        <v>96</v>
      </c>
      <c r="E87" s="17"/>
      <c r="F87" s="17" t="s">
        <v>29</v>
      </c>
      <c r="G87" s="78">
        <v>0</v>
      </c>
      <c r="H87" s="98">
        <v>0</v>
      </c>
      <c r="I87" s="78">
        <v>0</v>
      </c>
      <c r="J87" s="98">
        <v>0</v>
      </c>
      <c r="K87" s="118">
        <v>0</v>
      </c>
    </row>
    <row r="88" spans="2:17" s="50" customFormat="1" ht="13.5" thickBot="1" x14ac:dyDescent="0.25">
      <c r="B88" s="51"/>
      <c r="C88" s="52" t="s">
        <v>48</v>
      </c>
      <c r="D88" s="53" t="s">
        <v>98</v>
      </c>
      <c r="E88" s="54"/>
      <c r="F88" s="54" t="s">
        <v>98</v>
      </c>
      <c r="G88" s="61">
        <f>SUM(G84:G87)</f>
        <v>0</v>
      </c>
      <c r="H88" s="61">
        <f>SUM(H84:H87)</f>
        <v>0</v>
      </c>
      <c r="I88" s="61">
        <f>SUM(I84:I87)</f>
        <v>0</v>
      </c>
      <c r="J88" s="61">
        <f>SUM(J84:J87)</f>
        <v>0</v>
      </c>
      <c r="K88" s="62">
        <f>SUM(K84:K87)</f>
        <v>0</v>
      </c>
    </row>
    <row r="90" spans="2:17" ht="13.5" thickBot="1" x14ac:dyDescent="0.25"/>
    <row r="91" spans="2:17" s="50" customFormat="1" x14ac:dyDescent="0.2">
      <c r="C91" s="126" t="s">
        <v>120</v>
      </c>
      <c r="D91" s="127"/>
      <c r="E91" s="128"/>
      <c r="F91" s="129"/>
      <c r="G91" s="134">
        <f>SUM(G77+G83+G88)</f>
        <v>47757</v>
      </c>
      <c r="H91" s="134">
        <f ca="1">SUM(H77+H83+H88)</f>
        <v>0</v>
      </c>
      <c r="I91" s="134">
        <f ca="1">SUM(I77+I83+I88)</f>
        <v>0</v>
      </c>
      <c r="J91" s="134">
        <f ca="1">SUM(J77+J83+J88)</f>
        <v>0</v>
      </c>
      <c r="K91" s="135">
        <f ca="1">SUM(K77+K83+K88)</f>
        <v>0</v>
      </c>
      <c r="M91" s="1"/>
      <c r="N91" s="1"/>
      <c r="O91" s="1"/>
      <c r="P91" s="1"/>
      <c r="Q91" s="1"/>
    </row>
    <row r="92" spans="2:17" ht="13.5" thickBot="1" x14ac:dyDescent="0.25">
      <c r="C92" s="130" t="s">
        <v>121</v>
      </c>
      <c r="D92" s="131"/>
      <c r="E92" s="132"/>
      <c r="F92" s="133"/>
      <c r="G92" s="136">
        <f>G91</f>
        <v>47757</v>
      </c>
      <c r="H92" s="136">
        <f ca="1">G92+H91</f>
        <v>47757</v>
      </c>
      <c r="I92" s="136">
        <f ca="1">H92+I91</f>
        <v>47757</v>
      </c>
      <c r="J92" s="136">
        <f ca="1">I92+J91</f>
        <v>47757</v>
      </c>
      <c r="K92" s="137">
        <f ca="1">J92+K91</f>
        <v>47757</v>
      </c>
    </row>
    <row r="93" spans="2:17" x14ac:dyDescent="0.2">
      <c r="C93" s="32" t="s">
        <v>110</v>
      </c>
      <c r="D93" s="40"/>
      <c r="E93" s="19"/>
      <c r="F93" s="19"/>
      <c r="G93" s="82">
        <f t="shared" ref="G93:K99" si="14">SUMIF($D$3:$D$88,$C93,G$3:G$88)</f>
        <v>15762</v>
      </c>
      <c r="H93" s="102">
        <f t="shared" si="14"/>
        <v>0</v>
      </c>
      <c r="I93" s="82">
        <f t="shared" si="14"/>
        <v>0</v>
      </c>
      <c r="J93" s="102">
        <f t="shared" si="14"/>
        <v>0</v>
      </c>
      <c r="K93" s="121">
        <f t="shared" si="14"/>
        <v>0</v>
      </c>
    </row>
    <row r="94" spans="2:17" x14ac:dyDescent="0.2">
      <c r="C94" s="59" t="s">
        <v>111</v>
      </c>
      <c r="D94" s="39"/>
      <c r="E94" s="17"/>
      <c r="F94" s="17"/>
      <c r="G94" s="82">
        <f t="shared" si="14"/>
        <v>0</v>
      </c>
      <c r="H94" s="102">
        <f t="shared" si="14"/>
        <v>0</v>
      </c>
      <c r="I94" s="82">
        <f t="shared" si="14"/>
        <v>0</v>
      </c>
      <c r="J94" s="102">
        <f t="shared" si="14"/>
        <v>0</v>
      </c>
      <c r="K94" s="121">
        <f t="shared" si="14"/>
        <v>0</v>
      </c>
    </row>
    <row r="95" spans="2:17" x14ac:dyDescent="0.2">
      <c r="C95" s="59" t="s">
        <v>112</v>
      </c>
      <c r="D95" s="39"/>
      <c r="E95" s="17"/>
      <c r="F95" s="17"/>
      <c r="G95" s="82">
        <f t="shared" si="14"/>
        <v>10395</v>
      </c>
      <c r="H95" s="102">
        <f t="shared" si="14"/>
        <v>0</v>
      </c>
      <c r="I95" s="82">
        <f t="shared" si="14"/>
        <v>0</v>
      </c>
      <c r="J95" s="102">
        <f t="shared" si="14"/>
        <v>0</v>
      </c>
      <c r="K95" s="121">
        <f t="shared" si="14"/>
        <v>0</v>
      </c>
    </row>
    <row r="96" spans="2:17" x14ac:dyDescent="0.2">
      <c r="C96" s="59" t="s">
        <v>113</v>
      </c>
      <c r="D96" s="39"/>
      <c r="E96" s="17"/>
      <c r="F96" s="17"/>
      <c r="G96" s="82">
        <f t="shared" si="14"/>
        <v>0</v>
      </c>
      <c r="H96" s="102">
        <f t="shared" si="14"/>
        <v>0</v>
      </c>
      <c r="I96" s="82">
        <f t="shared" si="14"/>
        <v>0</v>
      </c>
      <c r="J96" s="102">
        <f t="shared" si="14"/>
        <v>0</v>
      </c>
      <c r="K96" s="121">
        <f t="shared" si="14"/>
        <v>0</v>
      </c>
    </row>
    <row r="97" spans="3:11" x14ac:dyDescent="0.2">
      <c r="C97" s="59" t="s">
        <v>49</v>
      </c>
      <c r="D97" s="39"/>
      <c r="E97" s="17"/>
      <c r="F97" s="17"/>
      <c r="G97" s="82">
        <f t="shared" si="14"/>
        <v>21600</v>
      </c>
      <c r="H97" s="102">
        <f t="shared" si="14"/>
        <v>0</v>
      </c>
      <c r="I97" s="82">
        <f t="shared" si="14"/>
        <v>0</v>
      </c>
      <c r="J97" s="102">
        <f t="shared" si="14"/>
        <v>0</v>
      </c>
      <c r="K97" s="121">
        <f t="shared" si="14"/>
        <v>0</v>
      </c>
    </row>
    <row r="98" spans="3:11" x14ac:dyDescent="0.2">
      <c r="C98" s="59" t="s">
        <v>303</v>
      </c>
      <c r="D98" s="39"/>
      <c r="E98" s="17"/>
      <c r="F98" s="17"/>
      <c r="G98" s="82">
        <f t="shared" si="14"/>
        <v>0</v>
      </c>
      <c r="H98" s="102">
        <f t="shared" ca="1" si="14"/>
        <v>0</v>
      </c>
      <c r="I98" s="82">
        <f t="shared" ca="1" si="14"/>
        <v>0</v>
      </c>
      <c r="J98" s="102">
        <f t="shared" ca="1" si="14"/>
        <v>0</v>
      </c>
      <c r="K98" s="121">
        <f t="shared" ca="1" si="14"/>
        <v>0</v>
      </c>
    </row>
    <row r="99" spans="3:11" x14ac:dyDescent="0.2">
      <c r="C99" s="59" t="s">
        <v>304</v>
      </c>
      <c r="D99" s="39"/>
      <c r="E99" s="17"/>
      <c r="F99" s="17"/>
      <c r="G99" s="82">
        <f t="shared" si="14"/>
        <v>0</v>
      </c>
      <c r="H99" s="102">
        <f t="shared" si="14"/>
        <v>0</v>
      </c>
      <c r="I99" s="82">
        <f t="shared" si="14"/>
        <v>0</v>
      </c>
      <c r="J99" s="102">
        <f t="shared" si="14"/>
        <v>0</v>
      </c>
      <c r="K99" s="121">
        <f t="shared" si="14"/>
        <v>0</v>
      </c>
    </row>
    <row r="100" spans="3:11" s="50" customFormat="1" x14ac:dyDescent="0.2">
      <c r="C100" s="159" t="s">
        <v>53</v>
      </c>
      <c r="D100" s="160"/>
      <c r="E100" s="161"/>
      <c r="F100" s="161"/>
      <c r="G100" s="162">
        <f>SUM(G93:G99)</f>
        <v>47757</v>
      </c>
      <c r="H100" s="163">
        <f t="shared" ref="H100:K100" ca="1" si="15">SUM(H93:H99)</f>
        <v>0</v>
      </c>
      <c r="I100" s="162">
        <f t="shared" ca="1" si="15"/>
        <v>0</v>
      </c>
      <c r="J100" s="163">
        <f t="shared" ca="1" si="15"/>
        <v>0</v>
      </c>
      <c r="K100" s="164">
        <f t="shared" ca="1" si="15"/>
        <v>0</v>
      </c>
    </row>
    <row r="101" spans="3:11" ht="13.5" thickBot="1" x14ac:dyDescent="0.25">
      <c r="C101" s="33" t="s">
        <v>96</v>
      </c>
      <c r="D101" s="41"/>
      <c r="E101" s="31"/>
      <c r="F101" s="31"/>
      <c r="G101" s="81">
        <f>SUMIF($D$3:$D$88,$C101,G$3:G$88)</f>
        <v>0</v>
      </c>
      <c r="H101" s="101">
        <f>SUMIF($D$3:$D$88,$C101,H$3:H$88)</f>
        <v>0</v>
      </c>
      <c r="I101" s="81">
        <f>SUMIF($D$3:$D$88,$C101,I$3:I$88)</f>
        <v>0</v>
      </c>
      <c r="J101" s="101">
        <f>SUMIF($D$3:$D$88,$C101,J$3:J$88)</f>
        <v>0</v>
      </c>
      <c r="K101" s="120">
        <f>SUMIF($D$3:$D$88,$C101,K$3:K$88)</f>
        <v>0</v>
      </c>
    </row>
    <row r="103" spans="3:11" ht="13.5" thickBot="1" x14ac:dyDescent="0.25"/>
    <row r="104" spans="3:11" x14ac:dyDescent="0.2">
      <c r="C104" s="58" t="s">
        <v>114</v>
      </c>
      <c r="D104" s="42"/>
      <c r="E104" s="22"/>
      <c r="F104" s="22"/>
      <c r="G104" s="63"/>
      <c r="H104" s="63"/>
      <c r="I104" s="63"/>
      <c r="J104" s="63"/>
      <c r="K104" s="64"/>
    </row>
    <row r="105" spans="3:11" x14ac:dyDescent="0.2">
      <c r="C105" s="59" t="s">
        <v>54</v>
      </c>
      <c r="D105" s="39"/>
      <c r="E105" s="17"/>
      <c r="F105" s="17"/>
      <c r="G105" s="83">
        <f>G$91/((1+0.03)^G$2)</f>
        <v>46366.019417475727</v>
      </c>
      <c r="H105" s="103">
        <f ca="1">H$91/((1+0.03)^H$2)</f>
        <v>0</v>
      </c>
      <c r="I105" s="83">
        <f ca="1">I$91/((1+0.03)^I$2)</f>
        <v>0</v>
      </c>
      <c r="J105" s="103">
        <f ca="1">J$91/((1+0.03)^J$2)</f>
        <v>0</v>
      </c>
      <c r="K105" s="122">
        <f ca="1">K$91/((1+0.03)^K$2)</f>
        <v>0</v>
      </c>
    </row>
    <row r="106" spans="3:11" x14ac:dyDescent="0.2">
      <c r="C106" s="59" t="s">
        <v>55</v>
      </c>
      <c r="D106" s="39"/>
      <c r="E106" s="17"/>
      <c r="F106" s="17"/>
      <c r="G106" s="83">
        <f>G$91/((1+0.05)^G$2)</f>
        <v>45482.857142857138</v>
      </c>
      <c r="H106" s="103">
        <f ca="1">H$91/((1+0.05)^H$2)</f>
        <v>0</v>
      </c>
      <c r="I106" s="83">
        <f ca="1">I$91/((1+0.05)^I$2)</f>
        <v>0</v>
      </c>
      <c r="J106" s="103">
        <f ca="1">J$91/((1+0.05)^J$2)</f>
        <v>0</v>
      </c>
      <c r="K106" s="122">
        <f ca="1">K$91/((1+0.05)^K$2)</f>
        <v>0</v>
      </c>
    </row>
    <row r="107" spans="3:11" x14ac:dyDescent="0.2">
      <c r="C107" s="59" t="s">
        <v>56</v>
      </c>
      <c r="D107" s="39"/>
      <c r="E107" s="17"/>
      <c r="F107" s="17"/>
      <c r="G107" s="83">
        <f>G$91/((1+0.08)^G$2)</f>
        <v>44219.444444444438</v>
      </c>
      <c r="H107" s="103">
        <f ca="1">H$91/((1+0.08)^H$2)</f>
        <v>0</v>
      </c>
      <c r="I107" s="83">
        <f ca="1">I$91/((1+0.08)^I$2)</f>
        <v>0</v>
      </c>
      <c r="J107" s="103">
        <f ca="1">J$91/((1+0.08)^J$2)</f>
        <v>0</v>
      </c>
      <c r="K107" s="122">
        <f ca="1">K$91/((1+0.08)^K$2)</f>
        <v>0</v>
      </c>
    </row>
    <row r="108" spans="3:11" x14ac:dyDescent="0.2">
      <c r="C108" s="59" t="s">
        <v>57</v>
      </c>
      <c r="D108" s="39"/>
      <c r="E108" s="17"/>
      <c r="F108" s="17"/>
      <c r="G108" s="83">
        <f>G$91/((1+0.1)^G$2)</f>
        <v>43415.454545454544</v>
      </c>
      <c r="H108" s="103">
        <f ca="1">H$91/((1+0.1)^H$2)</f>
        <v>0</v>
      </c>
      <c r="I108" s="83">
        <f ca="1">I$91/((1+0.1)^I$2)</f>
        <v>0</v>
      </c>
      <c r="J108" s="103">
        <f ca="1">J$91/((1+0.1)^J$2)</f>
        <v>0</v>
      </c>
      <c r="K108" s="122">
        <f ca="1">K$91/((1+0.1)^K$2)</f>
        <v>0</v>
      </c>
    </row>
    <row r="109" spans="3:11" ht="13.5" thickBot="1" x14ac:dyDescent="0.25">
      <c r="C109" s="33" t="s">
        <v>58</v>
      </c>
      <c r="D109" s="41"/>
      <c r="E109" s="31"/>
      <c r="F109" s="31"/>
      <c r="G109" s="84">
        <f>G$91/((1+0.12)^G$2)</f>
        <v>42640.178571428565</v>
      </c>
      <c r="H109" s="104">
        <f ca="1">H$91/((1+0.12)^H$2)</f>
        <v>0</v>
      </c>
      <c r="I109" s="84">
        <f ca="1">I$91/((1+0.12)^I$2)</f>
        <v>0</v>
      </c>
      <c r="J109" s="104">
        <f ca="1">J$91/((1+0.12)^J$2)</f>
        <v>0</v>
      </c>
      <c r="K109" s="123">
        <f ca="1">K$91/((1+0.12)^K$2)</f>
        <v>0</v>
      </c>
    </row>
  </sheetData>
  <pageMargins left="0.7" right="0.7" top="0.75" bottom="0.75" header="0.3" footer="0.3"/>
  <pageSetup scale="45" fitToHeight="0" orientation="landscape" r:id="rId1"/>
  <ignoredErrors>
    <ignoredError sqref="G31" evalError="1"/>
    <ignoredError sqref="G42 G46" formulaRange="1"/>
    <ignoredError sqref="G43:G45 G41" formula="1" formulaRange="1"/>
    <ignoredError sqref="H43:K43 G100:K100 H45:K45 I44:K4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F3:F88</xm:sqref>
        </x14:dataValidation>
        <x14:dataValidation type="list" allowBlank="1" showInputMessage="1" showErrorMessage="1">
          <x14:formula1>
            <xm:f>'Validation Lists'!$A$2:$A$12</xm:f>
          </x14:formula1>
          <xm:sqref>D3:D88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0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6.28515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331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SUM(G47*G53,G49*G55,G51*G57)/52</f>
        <v>9.6153846153846159E-2</v>
      </c>
      <c r="H21" s="93">
        <f t="shared" ref="H21:K21" si="2">SUM(H47*H53,H49*H55,H51*H57)/52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SUM(G48*G54,G50*G56,G52*G58)/52</f>
        <v>0.30769230769230771</v>
      </c>
      <c r="H24" s="93">
        <f t="shared" ref="H24:K24" si="3">SUM(H48*H54,H50*H56,H52*H58)/52</f>
        <v>0</v>
      </c>
      <c r="I24" s="73">
        <f t="shared" si="3"/>
        <v>0</v>
      </c>
      <c r="J24" s="93">
        <f t="shared" si="3"/>
        <v>0</v>
      </c>
      <c r="K24" s="115">
        <f t="shared" si="3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4">ROUND(H19,0)+ROUND(H20,0)+ROUND(H21,0)+ROUND(H22,0)+ROUND(H23,0)+ROUND(H24,0)+ROUND(H25,0)+ROUND(H26,0)+ROUND(H27,0)+ROUND(H28,0)+ROUND(H29,0)+ROUND(H30,0)</f>
        <v>0</v>
      </c>
      <c r="I31" s="71">
        <f t="shared" si="4"/>
        <v>0</v>
      </c>
      <c r="J31" s="92">
        <f t="shared" si="4"/>
        <v>0</v>
      </c>
      <c r="K31" s="114">
        <f t="shared" si="4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G47+G49+G51</f>
        <v>1.25</v>
      </c>
      <c r="H32" s="90">
        <f t="shared" ref="H32:K32" si="5">H47+H49+H51</f>
        <v>0</v>
      </c>
      <c r="I32" s="69">
        <f t="shared" si="5"/>
        <v>0</v>
      </c>
      <c r="J32" s="90">
        <f t="shared" si="5"/>
        <v>0</v>
      </c>
      <c r="K32" s="112">
        <f t="shared" si="5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G48+G50+G52</f>
        <v>4</v>
      </c>
      <c r="H34" s="93">
        <f t="shared" ref="H34:K34" si="6">H48+H50+H52</f>
        <v>0</v>
      </c>
      <c r="I34" s="73">
        <f t="shared" si="6"/>
        <v>0</v>
      </c>
      <c r="J34" s="93">
        <f t="shared" si="6"/>
        <v>0</v>
      </c>
      <c r="K34" s="115">
        <f t="shared" si="6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6</v>
      </c>
      <c r="H38" s="93">
        <f t="shared" ref="H38:K38" si="7">ROUNDUP(H32+H33+H34+H35+H36-H37,0)</f>
        <v>0</v>
      </c>
      <c r="I38" s="73">
        <f t="shared" si="7"/>
        <v>0</v>
      </c>
      <c r="J38" s="93">
        <f t="shared" si="7"/>
        <v>0</v>
      </c>
      <c r="K38" s="115">
        <f t="shared" si="7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8">H39</f>
        <v>0</v>
      </c>
      <c r="I40" s="73">
        <f t="shared" si="8"/>
        <v>0</v>
      </c>
      <c r="J40" s="93">
        <f t="shared" si="8"/>
        <v>0</v>
      </c>
      <c r="K40" s="115">
        <f t="shared" si="8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9">ROUND(H21,0)+ROUND(H22,0)+ROUND(H23,0)+ROUND(H24,0)+ROUND(H25,0)+ROUND(H26,0)-ROUND(H36,0)</f>
        <v>0</v>
      </c>
      <c r="I43" s="73">
        <f t="shared" si="9"/>
        <v>0</v>
      </c>
      <c r="J43" s="93">
        <f t="shared" si="9"/>
        <v>0</v>
      </c>
      <c r="K43" s="115">
        <f t="shared" si="9"/>
        <v>0</v>
      </c>
    </row>
    <row r="44" spans="1:11" x14ac:dyDescent="0.2">
      <c r="A44" s="167"/>
      <c r="B44" s="168"/>
      <c r="C44" s="3" t="s">
        <v>409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0</v>
      </c>
      <c r="I44" s="73">
        <f ca="1">IF(I44-H44&gt;0,I44-H44,0)</f>
        <v>0</v>
      </c>
      <c r="J44" s="93">
        <f ca="1">IF(J44-I44&gt;0,J44-I44,0)</f>
        <v>0</v>
      </c>
      <c r="K44" s="115">
        <f ca="1">IF(K44-J44&gt;0,K44-J44,0)</f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317</v>
      </c>
      <c r="B47" s="168" t="s">
        <v>318</v>
      </c>
      <c r="C47" s="13" t="s">
        <v>187</v>
      </c>
      <c r="D47" s="40" t="s">
        <v>98</v>
      </c>
      <c r="E47" s="19"/>
      <c r="F47" s="19" t="s">
        <v>98</v>
      </c>
      <c r="G47" s="70">
        <v>0.25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3" t="s">
        <v>188</v>
      </c>
      <c r="D48" s="39" t="s">
        <v>98</v>
      </c>
      <c r="E48" s="17"/>
      <c r="F48" s="17" t="s">
        <v>98</v>
      </c>
      <c r="G48" s="73">
        <v>1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3" t="s">
        <v>189</v>
      </c>
      <c r="D49" s="39" t="s">
        <v>98</v>
      </c>
      <c r="E49" s="17"/>
      <c r="F49" s="17" t="s">
        <v>98</v>
      </c>
      <c r="G49" s="73">
        <v>0.25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3" t="s">
        <v>190</v>
      </c>
      <c r="D50" s="39" t="s">
        <v>98</v>
      </c>
      <c r="E50" s="17"/>
      <c r="F50" s="17" t="s">
        <v>98</v>
      </c>
      <c r="G50" s="73">
        <v>2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3" t="s">
        <v>191</v>
      </c>
      <c r="D51" s="39" t="s">
        <v>98</v>
      </c>
      <c r="E51" s="17"/>
      <c r="F51" s="17" t="s">
        <v>98</v>
      </c>
      <c r="G51" s="73">
        <v>0.75</v>
      </c>
      <c r="H51" s="93">
        <v>0</v>
      </c>
      <c r="I51" s="73">
        <v>0</v>
      </c>
      <c r="J51" s="93">
        <v>0</v>
      </c>
      <c r="K51" s="115">
        <v>0</v>
      </c>
    </row>
    <row r="52" spans="1:11" ht="13.5" thickBot="1" x14ac:dyDescent="0.25">
      <c r="A52" s="48"/>
      <c r="B52" s="49"/>
      <c r="C52" s="30" t="s">
        <v>192</v>
      </c>
      <c r="D52" s="43" t="s">
        <v>98</v>
      </c>
      <c r="E52" s="31"/>
      <c r="F52" s="31" t="s">
        <v>98</v>
      </c>
      <c r="G52" s="71">
        <v>1</v>
      </c>
      <c r="H52" s="92">
        <v>0</v>
      </c>
      <c r="I52" s="71">
        <v>0</v>
      </c>
      <c r="J52" s="92">
        <v>0</v>
      </c>
      <c r="K52" s="114">
        <v>0</v>
      </c>
    </row>
    <row r="53" spans="1:11" x14ac:dyDescent="0.2">
      <c r="A53" s="165" t="s">
        <v>320</v>
      </c>
      <c r="B53" s="48" t="s">
        <v>318</v>
      </c>
      <c r="C53" s="3" t="s">
        <v>187</v>
      </c>
      <c r="D53" s="42" t="s">
        <v>98</v>
      </c>
      <c r="E53" s="17"/>
      <c r="F53" s="17" t="s">
        <v>98</v>
      </c>
      <c r="G53" s="73">
        <v>4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167"/>
      <c r="B54" s="48"/>
      <c r="C54" s="3" t="s">
        <v>188</v>
      </c>
      <c r="D54" s="39" t="s">
        <v>98</v>
      </c>
      <c r="E54" s="17"/>
      <c r="F54" s="17" t="s">
        <v>98</v>
      </c>
      <c r="G54" s="73">
        <v>4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167"/>
      <c r="B55" s="48"/>
      <c r="C55" s="3" t="s">
        <v>189</v>
      </c>
      <c r="D55" s="39" t="s">
        <v>98</v>
      </c>
      <c r="E55" s="17"/>
      <c r="F55" s="17" t="s">
        <v>98</v>
      </c>
      <c r="G55" s="73">
        <v>4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167"/>
      <c r="B56" s="48"/>
      <c r="C56" s="3" t="s">
        <v>190</v>
      </c>
      <c r="D56" s="39" t="s">
        <v>98</v>
      </c>
      <c r="E56" s="17"/>
      <c r="F56" s="17" t="s">
        <v>98</v>
      </c>
      <c r="G56" s="73">
        <v>4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167"/>
      <c r="B57" s="48"/>
      <c r="C57" s="3" t="s">
        <v>191</v>
      </c>
      <c r="D57" s="39" t="s">
        <v>98</v>
      </c>
      <c r="E57" s="17"/>
      <c r="F57" s="17" t="s">
        <v>98</v>
      </c>
      <c r="G57" s="73">
        <v>4</v>
      </c>
      <c r="H57" s="93">
        <v>0</v>
      </c>
      <c r="I57" s="73">
        <v>0</v>
      </c>
      <c r="J57" s="93">
        <v>0</v>
      </c>
      <c r="K57" s="115">
        <v>0</v>
      </c>
    </row>
    <row r="58" spans="1:11" ht="13.5" thickBot="1" x14ac:dyDescent="0.25">
      <c r="A58" s="150"/>
      <c r="B58" s="51"/>
      <c r="C58" s="30" t="s">
        <v>192</v>
      </c>
      <c r="D58" s="144" t="s">
        <v>98</v>
      </c>
      <c r="E58" s="31"/>
      <c r="F58" s="31" t="s">
        <v>98</v>
      </c>
      <c r="G58" s="71">
        <v>4</v>
      </c>
      <c r="H58" s="92">
        <v>0</v>
      </c>
      <c r="I58" s="71">
        <v>0</v>
      </c>
      <c r="J58" s="92">
        <v>0</v>
      </c>
      <c r="K58" s="114">
        <v>0</v>
      </c>
    </row>
    <row r="59" spans="1:11" x14ac:dyDescent="0.2">
      <c r="A59" s="48" t="s">
        <v>321</v>
      </c>
      <c r="B59" s="48" t="s">
        <v>318</v>
      </c>
      <c r="C59" s="3" t="s">
        <v>187</v>
      </c>
      <c r="D59" s="40" t="s">
        <v>110</v>
      </c>
      <c r="E59" s="17"/>
      <c r="F59" s="17" t="s">
        <v>29</v>
      </c>
      <c r="G59" s="75">
        <f>G53*G47*G5</f>
        <v>1776</v>
      </c>
      <c r="H59" s="95">
        <f>H53*H47*H5</f>
        <v>0</v>
      </c>
      <c r="I59" s="75">
        <f>I53*I47*I5</f>
        <v>0</v>
      </c>
      <c r="J59" s="95">
        <f>J53*J47*J5</f>
        <v>0</v>
      </c>
      <c r="K59" s="117">
        <f>K53*K47*K5</f>
        <v>0</v>
      </c>
    </row>
    <row r="60" spans="1:11" x14ac:dyDescent="0.2">
      <c r="A60" s="48"/>
      <c r="B60" s="48"/>
      <c r="C60" s="3" t="s">
        <v>188</v>
      </c>
      <c r="D60" s="39" t="s">
        <v>112</v>
      </c>
      <c r="E60" s="17"/>
      <c r="F60" s="17" t="s">
        <v>29</v>
      </c>
      <c r="G60" s="75">
        <f>G54*G48*G8</f>
        <v>7560</v>
      </c>
      <c r="H60" s="95">
        <f>H54*H48*H8</f>
        <v>0</v>
      </c>
      <c r="I60" s="75">
        <f>I54*I48*I8</f>
        <v>0</v>
      </c>
      <c r="J60" s="95">
        <f>J54*J48*J8</f>
        <v>0</v>
      </c>
      <c r="K60" s="117">
        <f>K54*K48*K8</f>
        <v>0</v>
      </c>
    </row>
    <row r="61" spans="1:11" x14ac:dyDescent="0.2">
      <c r="A61" s="48"/>
      <c r="B61" s="48"/>
      <c r="C61" s="3" t="s">
        <v>189</v>
      </c>
      <c r="D61" s="39" t="s">
        <v>110</v>
      </c>
      <c r="E61" s="17"/>
      <c r="F61" s="17" t="s">
        <v>29</v>
      </c>
      <c r="G61" s="75">
        <f>G55*G49*G5</f>
        <v>1776</v>
      </c>
      <c r="H61" s="95">
        <f>H55*H49*H5</f>
        <v>0</v>
      </c>
      <c r="I61" s="75">
        <f>I55*I49*I5</f>
        <v>0</v>
      </c>
      <c r="J61" s="95">
        <f>J55*J49*J5</f>
        <v>0</v>
      </c>
      <c r="K61" s="117">
        <f>K55*K49*K5</f>
        <v>0</v>
      </c>
    </row>
    <row r="62" spans="1:11" x14ac:dyDescent="0.2">
      <c r="A62" s="48"/>
      <c r="B62" s="48"/>
      <c r="C62" s="3" t="s">
        <v>190</v>
      </c>
      <c r="D62" s="39" t="s">
        <v>112</v>
      </c>
      <c r="E62" s="17"/>
      <c r="F62" s="17" t="s">
        <v>29</v>
      </c>
      <c r="G62" s="75">
        <f>G56*G50*G8</f>
        <v>15120</v>
      </c>
      <c r="H62" s="95">
        <f>H56*H50*H8</f>
        <v>0</v>
      </c>
      <c r="I62" s="75">
        <f>I56*I50*I8</f>
        <v>0</v>
      </c>
      <c r="J62" s="95">
        <f>J56*J50*J8</f>
        <v>0</v>
      </c>
      <c r="K62" s="117">
        <f>K56*K50*K8</f>
        <v>0</v>
      </c>
    </row>
    <row r="63" spans="1:11" x14ac:dyDescent="0.2">
      <c r="A63" s="48"/>
      <c r="B63" s="48"/>
      <c r="C63" s="3" t="s">
        <v>191</v>
      </c>
      <c r="D63" s="39" t="s">
        <v>110</v>
      </c>
      <c r="E63" s="17"/>
      <c r="F63" s="17" t="s">
        <v>29</v>
      </c>
      <c r="G63" s="75">
        <f>G57*G51*G5</f>
        <v>5328</v>
      </c>
      <c r="H63" s="95">
        <f>H57*H51*H5</f>
        <v>0</v>
      </c>
      <c r="I63" s="75">
        <f>I57*I51*I5</f>
        <v>0</v>
      </c>
      <c r="J63" s="95">
        <f>J57*J51*J5</f>
        <v>0</v>
      </c>
      <c r="K63" s="117">
        <f>K57*K51*K5</f>
        <v>0</v>
      </c>
    </row>
    <row r="64" spans="1:11" x14ac:dyDescent="0.2">
      <c r="A64" s="48"/>
      <c r="B64" s="48"/>
      <c r="C64" s="3" t="s">
        <v>192</v>
      </c>
      <c r="D64" s="39" t="s">
        <v>112</v>
      </c>
      <c r="E64" s="17"/>
      <c r="F64" s="17" t="s">
        <v>29</v>
      </c>
      <c r="G64" s="75">
        <f>G58*G52*G8</f>
        <v>7560</v>
      </c>
      <c r="H64" s="95">
        <f>H58*H52*H8</f>
        <v>0</v>
      </c>
      <c r="I64" s="75">
        <f>I58*I52*I8</f>
        <v>0</v>
      </c>
      <c r="J64" s="95">
        <f>J58*J52*J8</f>
        <v>0</v>
      </c>
      <c r="K64" s="117">
        <f>K58*K52*K8</f>
        <v>0</v>
      </c>
    </row>
    <row r="65" spans="1:11" x14ac:dyDescent="0.2">
      <c r="A65" s="48"/>
      <c r="B65" s="168"/>
      <c r="C65" s="3" t="s">
        <v>193</v>
      </c>
      <c r="D65" s="39" t="s">
        <v>98</v>
      </c>
      <c r="E65" s="17"/>
      <c r="F65" s="17" t="s">
        <v>98</v>
      </c>
      <c r="G65" s="75">
        <f>SUM(G59:G60)</f>
        <v>9336</v>
      </c>
      <c r="H65" s="95">
        <f t="shared" ref="H65:K65" si="10">SUM(H59:H60)</f>
        <v>0</v>
      </c>
      <c r="I65" s="75">
        <f t="shared" si="10"/>
        <v>0</v>
      </c>
      <c r="J65" s="95">
        <f t="shared" si="10"/>
        <v>0</v>
      </c>
      <c r="K65" s="117">
        <f t="shared" si="10"/>
        <v>0</v>
      </c>
    </row>
    <row r="66" spans="1:11" x14ac:dyDescent="0.2">
      <c r="A66" s="48"/>
      <c r="B66" s="168"/>
      <c r="C66" s="3" t="s">
        <v>194</v>
      </c>
      <c r="D66" s="39" t="s">
        <v>98</v>
      </c>
      <c r="E66" s="17"/>
      <c r="F66" s="17" t="s">
        <v>98</v>
      </c>
      <c r="G66" s="75">
        <f>SUM(G61:G62)</f>
        <v>16896</v>
      </c>
      <c r="H66" s="95">
        <f t="shared" ref="H66:K66" si="11">SUM(H61:H62)</f>
        <v>0</v>
      </c>
      <c r="I66" s="75">
        <f t="shared" si="11"/>
        <v>0</v>
      </c>
      <c r="J66" s="95">
        <f t="shared" si="11"/>
        <v>0</v>
      </c>
      <c r="K66" s="117">
        <f t="shared" si="11"/>
        <v>0</v>
      </c>
    </row>
    <row r="67" spans="1:11" x14ac:dyDescent="0.2">
      <c r="A67" s="48"/>
      <c r="B67" s="168"/>
      <c r="C67" s="11" t="s">
        <v>195</v>
      </c>
      <c r="D67" s="44" t="s">
        <v>98</v>
      </c>
      <c r="E67" s="18"/>
      <c r="F67" s="18" t="s">
        <v>98</v>
      </c>
      <c r="G67" s="76">
        <f>SUM(G63:G64)</f>
        <v>12888</v>
      </c>
      <c r="H67" s="96">
        <f t="shared" ref="H67:K67" si="12">SUM(H63:H64)</f>
        <v>0</v>
      </c>
      <c r="I67" s="76">
        <f t="shared" si="12"/>
        <v>0</v>
      </c>
      <c r="J67" s="96">
        <f t="shared" si="12"/>
        <v>0</v>
      </c>
      <c r="K67" s="175">
        <f t="shared" si="12"/>
        <v>0</v>
      </c>
    </row>
    <row r="68" spans="1:11" s="50" customFormat="1" ht="13.5" thickBot="1" x14ac:dyDescent="0.25">
      <c r="A68" s="150"/>
      <c r="B68" s="49"/>
      <c r="C68" s="52" t="s">
        <v>48</v>
      </c>
      <c r="D68" s="53" t="s">
        <v>98</v>
      </c>
      <c r="E68" s="54"/>
      <c r="F68" s="54" t="s">
        <v>98</v>
      </c>
      <c r="G68" s="55">
        <f>SUM(G65:G67)</f>
        <v>39120</v>
      </c>
      <c r="H68" s="55">
        <f>SUM(H65:H67)</f>
        <v>0</v>
      </c>
      <c r="I68" s="55">
        <f>SUM(I65:I67)</f>
        <v>0</v>
      </c>
      <c r="J68" s="55">
        <f>SUM(J65:J67)</f>
        <v>0</v>
      </c>
      <c r="K68" s="56">
        <f>SUM(K65:K67)</f>
        <v>0</v>
      </c>
    </row>
    <row r="69" spans="1:11" x14ac:dyDescent="0.2">
      <c r="B69" s="169" t="s">
        <v>322</v>
      </c>
      <c r="C69" s="21" t="s">
        <v>42</v>
      </c>
      <c r="D69" s="38" t="s">
        <v>43</v>
      </c>
      <c r="E69" s="22"/>
      <c r="F69" s="22" t="s">
        <v>29</v>
      </c>
      <c r="G69" s="77">
        <v>0</v>
      </c>
      <c r="H69" s="97">
        <v>0</v>
      </c>
      <c r="I69" s="77">
        <v>0</v>
      </c>
      <c r="J69" s="97">
        <v>0</v>
      </c>
      <c r="K69" s="124">
        <v>0</v>
      </c>
    </row>
    <row r="70" spans="1:11" x14ac:dyDescent="0.2">
      <c r="B70" s="48"/>
      <c r="C70" s="3" t="s">
        <v>44</v>
      </c>
      <c r="D70" s="39" t="s">
        <v>43</v>
      </c>
      <c r="E70" s="17"/>
      <c r="F70" s="17" t="s">
        <v>29</v>
      </c>
      <c r="G70" s="78">
        <f>(G41*(G17+G18))+(G42*G16)+(G43*(G17+G18))+(G44*G16)+(G45*G17)+(G46*G16)</f>
        <v>0</v>
      </c>
      <c r="H70" s="98">
        <f ca="1">(H41*(H17+H18))+(H42*H16)+(H43*(H17+H18))+(H44*H16)+(H45*H17)+(H46*H16)</f>
        <v>0</v>
      </c>
      <c r="I70" s="78">
        <f ca="1">(I41*(I17+I18))+(I42*I16)+(I43*(I17+I18))+(I44*I16)+(I45*I17)+(I46*I16)</f>
        <v>0</v>
      </c>
      <c r="J70" s="98">
        <f ca="1">(J41*(J17+J18))+(J42*J16)+(J43*(J17+J18))+(J44*J16)+(J45*J17)+(J46*J16)</f>
        <v>0</v>
      </c>
      <c r="K70" s="118">
        <f ca="1">(K41*(K17+K18))+(K42*K16)+(K43*(K17+K18))+(K44*K16)+(K45*K17)+(K46*K16)</f>
        <v>0</v>
      </c>
    </row>
    <row r="71" spans="1:11" x14ac:dyDescent="0.2">
      <c r="B71" s="48"/>
      <c r="C71" s="14" t="s">
        <v>45</v>
      </c>
      <c r="D71" s="149" t="s">
        <v>43</v>
      </c>
      <c r="E71" s="25"/>
      <c r="F71" s="25" t="s">
        <v>29</v>
      </c>
      <c r="G71" s="78">
        <v>0</v>
      </c>
      <c r="H71" s="98">
        <v>0</v>
      </c>
      <c r="I71" s="78">
        <v>0</v>
      </c>
      <c r="J71" s="98">
        <v>0</v>
      </c>
      <c r="K71" s="118">
        <v>0</v>
      </c>
    </row>
    <row r="72" spans="1:11" x14ac:dyDescent="0.2">
      <c r="B72" s="48"/>
      <c r="C72" s="14" t="s">
        <v>46</v>
      </c>
      <c r="D72" s="149" t="s">
        <v>43</v>
      </c>
      <c r="E72" s="25"/>
      <c r="F72" s="25" t="s">
        <v>29</v>
      </c>
      <c r="G72" s="78">
        <v>0</v>
      </c>
      <c r="H72" s="98">
        <v>0</v>
      </c>
      <c r="I72" s="78">
        <v>0</v>
      </c>
      <c r="J72" s="98">
        <v>0</v>
      </c>
      <c r="K72" s="118">
        <v>0</v>
      </c>
    </row>
    <row r="73" spans="1:11" x14ac:dyDescent="0.2">
      <c r="B73" s="48"/>
      <c r="C73" s="151" t="s">
        <v>47</v>
      </c>
      <c r="D73" s="148" t="s">
        <v>43</v>
      </c>
      <c r="E73" s="152"/>
      <c r="F73" s="25" t="s">
        <v>29</v>
      </c>
      <c r="G73" s="79">
        <v>0</v>
      </c>
      <c r="H73" s="100">
        <v>0</v>
      </c>
      <c r="I73" s="79">
        <v>0</v>
      </c>
      <c r="J73" s="100">
        <v>0</v>
      </c>
      <c r="K73" s="119">
        <v>0</v>
      </c>
    </row>
    <row r="74" spans="1:11" s="50" customFormat="1" ht="13.5" thickBot="1" x14ac:dyDescent="0.25">
      <c r="B74" s="51"/>
      <c r="C74" s="52" t="s">
        <v>48</v>
      </c>
      <c r="D74" s="57" t="s">
        <v>98</v>
      </c>
      <c r="E74" s="54"/>
      <c r="F74" s="54" t="s">
        <v>98</v>
      </c>
      <c r="G74" s="61">
        <f>SUM(G69:G73)</f>
        <v>0</v>
      </c>
      <c r="H74" s="61">
        <f ca="1">SUM(H69:H73)</f>
        <v>0</v>
      </c>
      <c r="I74" s="61">
        <f ca="1">SUM(I69:I73)</f>
        <v>0</v>
      </c>
      <c r="J74" s="61">
        <f ca="1">SUM(J69:J73)</f>
        <v>0</v>
      </c>
      <c r="K74" s="62">
        <f ca="1">SUM(K69:K73)</f>
        <v>0</v>
      </c>
    </row>
    <row r="75" spans="1:11" x14ac:dyDescent="0.2">
      <c r="B75" s="169" t="s">
        <v>325</v>
      </c>
      <c r="C75" s="35" t="s">
        <v>50</v>
      </c>
      <c r="D75" s="42" t="s">
        <v>96</v>
      </c>
      <c r="E75" s="22"/>
      <c r="F75" s="22" t="s">
        <v>29</v>
      </c>
      <c r="G75" s="80">
        <v>0</v>
      </c>
      <c r="H75" s="99">
        <v>0</v>
      </c>
      <c r="I75" s="80">
        <v>0</v>
      </c>
      <c r="J75" s="99">
        <v>0</v>
      </c>
      <c r="K75" s="125">
        <v>0</v>
      </c>
    </row>
    <row r="76" spans="1:11" x14ac:dyDescent="0.2">
      <c r="B76" s="48"/>
      <c r="C76" s="14" t="s">
        <v>76</v>
      </c>
      <c r="D76" s="39" t="s">
        <v>96</v>
      </c>
      <c r="E76" s="17"/>
      <c r="F76" s="17" t="s">
        <v>29</v>
      </c>
      <c r="G76" s="78">
        <v>0</v>
      </c>
      <c r="H76" s="98">
        <v>0</v>
      </c>
      <c r="I76" s="78">
        <v>0</v>
      </c>
      <c r="J76" s="98">
        <v>0</v>
      </c>
      <c r="K76" s="118">
        <v>0</v>
      </c>
    </row>
    <row r="77" spans="1:11" x14ac:dyDescent="0.2">
      <c r="B77" s="48"/>
      <c r="C77" s="14" t="s">
        <v>51</v>
      </c>
      <c r="D77" s="39" t="s">
        <v>96</v>
      </c>
      <c r="E77" s="17"/>
      <c r="F77" s="17" t="s">
        <v>29</v>
      </c>
      <c r="G77" s="78">
        <v>0</v>
      </c>
      <c r="H77" s="98">
        <v>0</v>
      </c>
      <c r="I77" s="78">
        <v>0</v>
      </c>
      <c r="J77" s="98">
        <v>0</v>
      </c>
      <c r="K77" s="118">
        <v>0</v>
      </c>
    </row>
    <row r="78" spans="1:11" x14ac:dyDescent="0.2">
      <c r="B78" s="48"/>
      <c r="C78" s="14" t="s">
        <v>52</v>
      </c>
      <c r="D78" s="39" t="s">
        <v>96</v>
      </c>
      <c r="E78" s="17"/>
      <c r="F78" s="17" t="s">
        <v>29</v>
      </c>
      <c r="G78" s="78">
        <v>0</v>
      </c>
      <c r="H78" s="98">
        <v>0</v>
      </c>
      <c r="I78" s="78">
        <v>0</v>
      </c>
      <c r="J78" s="98">
        <v>0</v>
      </c>
      <c r="K78" s="118">
        <v>0</v>
      </c>
    </row>
    <row r="79" spans="1:11" s="50" customFormat="1" ht="13.5" thickBot="1" x14ac:dyDescent="0.25">
      <c r="B79" s="51"/>
      <c r="C79" s="52" t="s">
        <v>48</v>
      </c>
      <c r="D79" s="53" t="s">
        <v>98</v>
      </c>
      <c r="E79" s="54"/>
      <c r="F79" s="54" t="s">
        <v>98</v>
      </c>
      <c r="G79" s="61">
        <f>SUM(G75:G78)</f>
        <v>0</v>
      </c>
      <c r="H79" s="61">
        <f>SUM(H75:H78)</f>
        <v>0</v>
      </c>
      <c r="I79" s="61">
        <f>SUM(I75:I78)</f>
        <v>0</v>
      </c>
      <c r="J79" s="61">
        <f>SUM(J75:J78)</f>
        <v>0</v>
      </c>
      <c r="K79" s="62">
        <f>SUM(K75:K78)</f>
        <v>0</v>
      </c>
    </row>
    <row r="81" spans="3:17" ht="13.5" thickBot="1" x14ac:dyDescent="0.25"/>
    <row r="82" spans="3:17" s="50" customFormat="1" x14ac:dyDescent="0.2">
      <c r="C82" s="126" t="s">
        <v>120</v>
      </c>
      <c r="D82" s="127"/>
      <c r="E82" s="128"/>
      <c r="F82" s="129"/>
      <c r="G82" s="134">
        <f>SUM(G68+G74+G79)</f>
        <v>39120</v>
      </c>
      <c r="H82" s="134">
        <f ca="1">SUM(H68+H74+H79)</f>
        <v>0</v>
      </c>
      <c r="I82" s="134">
        <f ca="1">SUM(I68+I74+I79)</f>
        <v>0</v>
      </c>
      <c r="J82" s="134">
        <f ca="1">SUM(J68+J74+J79)</f>
        <v>0</v>
      </c>
      <c r="K82" s="135">
        <f ca="1">SUM(K68+K74+K79)</f>
        <v>0</v>
      </c>
      <c r="M82" s="1"/>
      <c r="N82" s="1"/>
      <c r="O82" s="1"/>
      <c r="P82" s="1"/>
      <c r="Q82" s="1"/>
    </row>
    <row r="83" spans="3:17" ht="13.5" thickBot="1" x14ac:dyDescent="0.25">
      <c r="C83" s="130" t="s">
        <v>121</v>
      </c>
      <c r="D83" s="131"/>
      <c r="E83" s="132"/>
      <c r="F83" s="133"/>
      <c r="G83" s="136">
        <f>G82</f>
        <v>39120</v>
      </c>
      <c r="H83" s="136">
        <f ca="1">G83+H82</f>
        <v>39120</v>
      </c>
      <c r="I83" s="136">
        <f ca="1">H83+I82</f>
        <v>39120</v>
      </c>
      <c r="J83" s="136">
        <f ca="1">I83+J82</f>
        <v>39120</v>
      </c>
      <c r="K83" s="137">
        <f ca="1">J83+K82</f>
        <v>39120</v>
      </c>
    </row>
    <row r="84" spans="3:17" x14ac:dyDescent="0.2">
      <c r="C84" s="32" t="s">
        <v>110</v>
      </c>
      <c r="D84" s="40"/>
      <c r="E84" s="19"/>
      <c r="F84" s="19"/>
      <c r="G84" s="82">
        <f t="shared" ref="G84:K90" si="13">SUMIF($D$3:$D$79,$C84,G$3:G$79)</f>
        <v>8880</v>
      </c>
      <c r="H84" s="102">
        <f t="shared" si="13"/>
        <v>0</v>
      </c>
      <c r="I84" s="82">
        <f t="shared" si="13"/>
        <v>0</v>
      </c>
      <c r="J84" s="102">
        <f t="shared" si="13"/>
        <v>0</v>
      </c>
      <c r="K84" s="121">
        <f t="shared" si="13"/>
        <v>0</v>
      </c>
    </row>
    <row r="85" spans="3:17" x14ac:dyDescent="0.2">
      <c r="C85" s="59" t="s">
        <v>111</v>
      </c>
      <c r="D85" s="39"/>
      <c r="E85" s="17"/>
      <c r="F85" s="17"/>
      <c r="G85" s="82">
        <f t="shared" si="13"/>
        <v>0</v>
      </c>
      <c r="H85" s="102">
        <f t="shared" si="13"/>
        <v>0</v>
      </c>
      <c r="I85" s="82">
        <f t="shared" si="13"/>
        <v>0</v>
      </c>
      <c r="J85" s="102">
        <f t="shared" si="13"/>
        <v>0</v>
      </c>
      <c r="K85" s="121">
        <f t="shared" si="13"/>
        <v>0</v>
      </c>
    </row>
    <row r="86" spans="3:17" x14ac:dyDescent="0.2">
      <c r="C86" s="59" t="s">
        <v>112</v>
      </c>
      <c r="D86" s="39"/>
      <c r="E86" s="17"/>
      <c r="F86" s="17"/>
      <c r="G86" s="82">
        <f t="shared" si="13"/>
        <v>30240</v>
      </c>
      <c r="H86" s="102">
        <f t="shared" si="13"/>
        <v>0</v>
      </c>
      <c r="I86" s="82">
        <f t="shared" si="13"/>
        <v>0</v>
      </c>
      <c r="J86" s="102">
        <f t="shared" si="13"/>
        <v>0</v>
      </c>
      <c r="K86" s="121">
        <f t="shared" si="13"/>
        <v>0</v>
      </c>
    </row>
    <row r="87" spans="3:17" x14ac:dyDescent="0.2">
      <c r="C87" s="59" t="s">
        <v>113</v>
      </c>
      <c r="D87" s="39"/>
      <c r="E87" s="17"/>
      <c r="F87" s="17"/>
      <c r="G87" s="82">
        <f t="shared" si="13"/>
        <v>0</v>
      </c>
      <c r="H87" s="102">
        <f t="shared" si="13"/>
        <v>0</v>
      </c>
      <c r="I87" s="82">
        <f t="shared" si="13"/>
        <v>0</v>
      </c>
      <c r="J87" s="102">
        <f t="shared" si="13"/>
        <v>0</v>
      </c>
      <c r="K87" s="121">
        <f t="shared" si="13"/>
        <v>0</v>
      </c>
    </row>
    <row r="88" spans="3:17" x14ac:dyDescent="0.2">
      <c r="C88" s="59" t="s">
        <v>49</v>
      </c>
      <c r="D88" s="39"/>
      <c r="E88" s="17"/>
      <c r="F88" s="17"/>
      <c r="G88" s="82">
        <f t="shared" si="13"/>
        <v>0</v>
      </c>
      <c r="H88" s="102">
        <f t="shared" si="13"/>
        <v>0</v>
      </c>
      <c r="I88" s="82">
        <f t="shared" si="13"/>
        <v>0</v>
      </c>
      <c r="J88" s="102">
        <f t="shared" si="13"/>
        <v>0</v>
      </c>
      <c r="K88" s="121">
        <f t="shared" si="13"/>
        <v>0</v>
      </c>
    </row>
    <row r="89" spans="3:17" x14ac:dyDescent="0.2">
      <c r="C89" s="59" t="s">
        <v>303</v>
      </c>
      <c r="D89" s="39"/>
      <c r="E89" s="17"/>
      <c r="F89" s="17"/>
      <c r="G89" s="82">
        <f t="shared" si="13"/>
        <v>0</v>
      </c>
      <c r="H89" s="102">
        <f t="shared" si="13"/>
        <v>0</v>
      </c>
      <c r="I89" s="82">
        <f t="shared" si="13"/>
        <v>0</v>
      </c>
      <c r="J89" s="102">
        <f t="shared" si="13"/>
        <v>0</v>
      </c>
      <c r="K89" s="121">
        <f t="shared" si="13"/>
        <v>0</v>
      </c>
    </row>
    <row r="90" spans="3:17" x14ac:dyDescent="0.2">
      <c r="C90" s="59" t="s">
        <v>304</v>
      </c>
      <c r="D90" s="39"/>
      <c r="E90" s="17"/>
      <c r="F90" s="17"/>
      <c r="G90" s="82">
        <f t="shared" si="13"/>
        <v>0</v>
      </c>
      <c r="H90" s="102">
        <f t="shared" si="13"/>
        <v>0</v>
      </c>
      <c r="I90" s="82">
        <f t="shared" si="13"/>
        <v>0</v>
      </c>
      <c r="J90" s="102">
        <f t="shared" si="13"/>
        <v>0</v>
      </c>
      <c r="K90" s="121">
        <f t="shared" si="13"/>
        <v>0</v>
      </c>
    </row>
    <row r="91" spans="3:17" x14ac:dyDescent="0.2">
      <c r="C91" s="59" t="s">
        <v>53</v>
      </c>
      <c r="D91" s="39"/>
      <c r="E91" s="17"/>
      <c r="F91" s="17"/>
      <c r="G91" s="75">
        <f>SUM(G84:G90)</f>
        <v>39120</v>
      </c>
      <c r="H91" s="95">
        <f t="shared" ref="H91:K91" si="14">SUM(H84:H90)</f>
        <v>0</v>
      </c>
      <c r="I91" s="75">
        <f t="shared" si="14"/>
        <v>0</v>
      </c>
      <c r="J91" s="95">
        <f t="shared" si="14"/>
        <v>0</v>
      </c>
      <c r="K91" s="117">
        <f t="shared" si="14"/>
        <v>0</v>
      </c>
    </row>
    <row r="92" spans="3:17" ht="13.5" thickBot="1" x14ac:dyDescent="0.25">
      <c r="C92" s="33" t="s">
        <v>96</v>
      </c>
      <c r="D92" s="41"/>
      <c r="E92" s="31"/>
      <c r="F92" s="31"/>
      <c r="G92" s="81">
        <f>SUMIF($D$3:$D$79,$C92,G$3:G$79)</f>
        <v>0</v>
      </c>
      <c r="H92" s="101">
        <f>SUMIF($D$3:$D$79,$C92,H$3:H$79)</f>
        <v>0</v>
      </c>
      <c r="I92" s="81">
        <f>SUMIF($D$3:$D$79,$C92,I$3:I$79)</f>
        <v>0</v>
      </c>
      <c r="J92" s="101">
        <f>SUMIF($D$3:$D$79,$C92,J$3:J$79)</f>
        <v>0</v>
      </c>
      <c r="K92" s="120">
        <f>SUMIF($D$3:$D$79,$C92,K$3:K$79)</f>
        <v>0</v>
      </c>
    </row>
    <row r="94" spans="3:17" ht="13.5" thickBot="1" x14ac:dyDescent="0.25"/>
    <row r="95" spans="3:17" x14ac:dyDescent="0.2">
      <c r="C95" s="58" t="s">
        <v>114</v>
      </c>
      <c r="D95" s="42"/>
      <c r="E95" s="22"/>
      <c r="F95" s="22"/>
      <c r="G95" s="63"/>
      <c r="H95" s="63"/>
      <c r="I95" s="63"/>
      <c r="J95" s="63"/>
      <c r="K95" s="64"/>
    </row>
    <row r="96" spans="3:17" x14ac:dyDescent="0.2">
      <c r="C96" s="59" t="s">
        <v>54</v>
      </c>
      <c r="D96" s="39"/>
      <c r="E96" s="17"/>
      <c r="F96" s="17"/>
      <c r="G96" s="83">
        <f>G$82/((1+0.03)^G$2)</f>
        <v>37980.582524271842</v>
      </c>
      <c r="H96" s="103">
        <f ca="1">H$82/((1+0.03)^H$2)</f>
        <v>0</v>
      </c>
      <c r="I96" s="83">
        <f ca="1">I$82/((1+0.03)^I$2)</f>
        <v>0</v>
      </c>
      <c r="J96" s="103">
        <f ca="1">J$82/((1+0.03)^J$2)</f>
        <v>0</v>
      </c>
      <c r="K96" s="122">
        <f ca="1">K$82/((1+0.03)^K$2)</f>
        <v>0</v>
      </c>
    </row>
    <row r="97" spans="3:11" x14ac:dyDescent="0.2">
      <c r="C97" s="59" t="s">
        <v>55</v>
      </c>
      <c r="D97" s="39"/>
      <c r="E97" s="17"/>
      <c r="F97" s="17"/>
      <c r="G97" s="83">
        <f>G$82/((1+0.05)^G$2)</f>
        <v>37257.142857142855</v>
      </c>
      <c r="H97" s="103">
        <f ca="1">H$82/((1+0.05)^H$2)</f>
        <v>0</v>
      </c>
      <c r="I97" s="83">
        <f ca="1">I$82/((1+0.05)^I$2)</f>
        <v>0</v>
      </c>
      <c r="J97" s="103">
        <f ca="1">J$82/((1+0.05)^J$2)</f>
        <v>0</v>
      </c>
      <c r="K97" s="122">
        <f ca="1">K$82/((1+0.05)^K$2)</f>
        <v>0</v>
      </c>
    </row>
    <row r="98" spans="3:11" x14ac:dyDescent="0.2">
      <c r="C98" s="59" t="s">
        <v>56</v>
      </c>
      <c r="D98" s="39"/>
      <c r="E98" s="17"/>
      <c r="F98" s="17"/>
      <c r="G98" s="83">
        <f>G$82/((1+0.08)^G$2)</f>
        <v>36222.222222222219</v>
      </c>
      <c r="H98" s="103">
        <f ca="1">H$82/((1+0.08)^H$2)</f>
        <v>0</v>
      </c>
      <c r="I98" s="83">
        <f ca="1">I$82/((1+0.08)^I$2)</f>
        <v>0</v>
      </c>
      <c r="J98" s="103">
        <f ca="1">J$82/((1+0.08)^J$2)</f>
        <v>0</v>
      </c>
      <c r="K98" s="122">
        <f ca="1">K$82/((1+0.08)^K$2)</f>
        <v>0</v>
      </c>
    </row>
    <row r="99" spans="3:11" x14ac:dyDescent="0.2">
      <c r="C99" s="59" t="s">
        <v>57</v>
      </c>
      <c r="D99" s="39"/>
      <c r="E99" s="17"/>
      <c r="F99" s="17"/>
      <c r="G99" s="83">
        <f>G$82/((1+0.1)^G$2)</f>
        <v>35563.63636363636</v>
      </c>
      <c r="H99" s="103">
        <f ca="1">H$82/((1+0.1)^H$2)</f>
        <v>0</v>
      </c>
      <c r="I99" s="83">
        <f ca="1">I$82/((1+0.1)^I$2)</f>
        <v>0</v>
      </c>
      <c r="J99" s="103">
        <f ca="1">J$82/((1+0.1)^J$2)</f>
        <v>0</v>
      </c>
      <c r="K99" s="122">
        <f ca="1">K$82/((1+0.1)^K$2)</f>
        <v>0</v>
      </c>
    </row>
    <row r="100" spans="3:11" ht="13.5" thickBot="1" x14ac:dyDescent="0.25">
      <c r="C100" s="33" t="s">
        <v>58</v>
      </c>
      <c r="D100" s="41"/>
      <c r="E100" s="31"/>
      <c r="F100" s="31"/>
      <c r="G100" s="84">
        <f>G$82/((1+0.12)^G$2)</f>
        <v>34928.571428571428</v>
      </c>
      <c r="H100" s="104">
        <f ca="1">H$82/((1+0.12)^H$2)</f>
        <v>0</v>
      </c>
      <c r="I100" s="84">
        <f ca="1">I$82/((1+0.12)^I$2)</f>
        <v>0</v>
      </c>
      <c r="J100" s="104">
        <f ca="1">J$82/((1+0.12)^J$2)</f>
        <v>0</v>
      </c>
      <c r="K100" s="123">
        <f ca="1">K$82/((1+0.12)^K$2)</f>
        <v>0</v>
      </c>
    </row>
  </sheetData>
  <pageMargins left="0.7" right="0.7" top="0.75" bottom="0.75" header="0.3" footer="0.3"/>
  <pageSetup scale="46" fitToHeight="0" orientation="landscape" r:id="rId1"/>
  <ignoredErrors>
    <ignoredError sqref="H41:K41 G42" formulaRange="1"/>
    <ignoredError sqref="G43:K43 G41 G45:K45 G44 I44:K44" formula="1" formulaRange="1"/>
    <ignoredError sqref="G91:K91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D3:D79</xm:sqref>
        </x14:dataValidation>
        <x14:dataValidation type="list" allowBlank="1" showInputMessage="1" showErrorMessage="1">
          <x14:formula1>
            <xm:f>'Validation Lists'!$C$2:$C$4</xm:f>
          </x14:formula1>
          <xm:sqref>F3:F79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31"/>
  <sheetViews>
    <sheetView zoomScale="80" zoomScaleNormal="80" workbookViewId="0"/>
  </sheetViews>
  <sheetFormatPr defaultRowHeight="12.75" x14ac:dyDescent="0.2"/>
  <cols>
    <col min="1" max="1" width="16.7109375" style="1" bestFit="1" customWidth="1"/>
    <col min="2" max="2" width="43.7109375" style="1" bestFit="1" customWidth="1"/>
    <col min="3" max="3" width="84.5703125" style="1" bestFit="1" customWidth="1"/>
    <col min="4" max="4" width="28.710937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332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45" t="s">
        <v>313</v>
      </c>
      <c r="B3" s="27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46"/>
      <c r="B4" s="2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46"/>
      <c r="B5" s="2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46"/>
      <c r="B6" s="2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46"/>
      <c r="B7" s="2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46"/>
      <c r="B8" s="2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46"/>
      <c r="B9" s="2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46"/>
      <c r="B10" s="2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46"/>
      <c r="B11" s="2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46"/>
      <c r="B12" s="2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46"/>
      <c r="B13" s="2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46"/>
      <c r="B14" s="2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46"/>
      <c r="B15" s="27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46"/>
      <c r="B16" s="2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46"/>
      <c r="B17" s="2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46"/>
      <c r="B18" s="2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46"/>
      <c r="B19" s="27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46"/>
      <c r="B20" s="2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46"/>
      <c r="B21" s="28"/>
      <c r="C21" s="14" t="s">
        <v>78</v>
      </c>
      <c r="D21" s="39" t="s">
        <v>98</v>
      </c>
      <c r="E21" s="25"/>
      <c r="F21" s="25" t="s">
        <v>98</v>
      </c>
      <c r="G21" s="73">
        <f>SUM(G47*G63,G51*G67,G55*G71,G59*G75)/52</f>
        <v>0.10336538461538461</v>
      </c>
      <c r="H21" s="93">
        <f t="shared" ref="H21:K21" si="2">SUM(H47*H63,H51*H67,H55*H71,H59*H75)/52</f>
        <v>2.1634615384615384E-2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46"/>
      <c r="B22" s="2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46"/>
      <c r="B23" s="28"/>
      <c r="C23" s="14" t="s">
        <v>80</v>
      </c>
      <c r="D23" s="39" t="s">
        <v>98</v>
      </c>
      <c r="E23" s="25"/>
      <c r="F23" s="25" t="s">
        <v>98</v>
      </c>
      <c r="G23" s="73">
        <f>SUM(G49*G65,G53*G69,G57*G73,G61*G77)/52</f>
        <v>0.35144230769230766</v>
      </c>
      <c r="H23" s="93">
        <f t="shared" ref="H23:K23" si="3">SUM(H49*H65,H53*H69,H57*H73,H61*H77)/52</f>
        <v>7.3557692307692296E-2</v>
      </c>
      <c r="I23" s="73">
        <f t="shared" si="3"/>
        <v>0</v>
      </c>
      <c r="J23" s="93">
        <f t="shared" si="3"/>
        <v>0</v>
      </c>
      <c r="K23" s="115">
        <f t="shared" si="3"/>
        <v>0</v>
      </c>
      <c r="L23" s="26"/>
    </row>
    <row r="24" spans="1:12" x14ac:dyDescent="0.2">
      <c r="A24" s="46"/>
      <c r="B24" s="28"/>
      <c r="C24" s="14" t="s">
        <v>81</v>
      </c>
      <c r="D24" s="39" t="s">
        <v>98</v>
      </c>
      <c r="E24" s="25"/>
      <c r="F24" s="25" t="s">
        <v>98</v>
      </c>
      <c r="G24" s="73">
        <f>SUM(G48*G64,G52*G68,G56*G72,G60*G76)/52</f>
        <v>0.13942307692307693</v>
      </c>
      <c r="H24" s="93">
        <f t="shared" ref="H24:K24" si="4">SUM(H48*H64,H52*H68,H56*H72,H60*H76)/52</f>
        <v>5.7692307692307696E-2</v>
      </c>
      <c r="I24" s="73">
        <f t="shared" si="4"/>
        <v>0</v>
      </c>
      <c r="J24" s="93">
        <f t="shared" si="4"/>
        <v>0</v>
      </c>
      <c r="K24" s="115">
        <f t="shared" si="4"/>
        <v>0</v>
      </c>
      <c r="L24" s="26"/>
    </row>
    <row r="25" spans="1:12" x14ac:dyDescent="0.2">
      <c r="A25" s="46"/>
      <c r="B25" s="28"/>
      <c r="C25" s="14" t="s">
        <v>82</v>
      </c>
      <c r="D25" s="39" t="s">
        <v>98</v>
      </c>
      <c r="E25" s="25"/>
      <c r="F25" s="25" t="s">
        <v>98</v>
      </c>
      <c r="G25" s="73">
        <f>SUM(G50*G66,G54*G70,G58*G74,G62*G78)/52</f>
        <v>0.10625000000000001</v>
      </c>
      <c r="H25" s="93">
        <f t="shared" ref="H25:K25" si="5">SUM(H50*H66,H54*H70,H58*H74,H62*H78)/52</f>
        <v>2.1634615384615384E-2</v>
      </c>
      <c r="I25" s="73">
        <f t="shared" si="5"/>
        <v>0</v>
      </c>
      <c r="J25" s="93">
        <f t="shared" si="5"/>
        <v>0</v>
      </c>
      <c r="K25" s="115">
        <f t="shared" si="5"/>
        <v>0</v>
      </c>
      <c r="L25" s="26"/>
    </row>
    <row r="26" spans="1:12" x14ac:dyDescent="0.2">
      <c r="A26" s="46"/>
      <c r="B26" s="2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46"/>
      <c r="B27" s="2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46"/>
      <c r="B28" s="2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46"/>
      <c r="B29" s="2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46"/>
      <c r="B30" s="2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46"/>
      <c r="B31" s="2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6">ROUND(H19,0)+ROUND(H20,0)+ROUND(H21,0)+ROUND(H22,0)+ROUND(H23,0)+ROUND(H24,0)+ROUND(H25,0)+ROUND(H26,0)+ROUND(H27,0)+ROUND(H28,0)+ROUND(H29,0)+ROUND(H30,0)</f>
        <v>0</v>
      </c>
      <c r="I31" s="71">
        <f t="shared" si="6"/>
        <v>0</v>
      </c>
      <c r="J31" s="92">
        <f t="shared" si="6"/>
        <v>0</v>
      </c>
      <c r="K31" s="114">
        <f t="shared" si="6"/>
        <v>0</v>
      </c>
    </row>
    <row r="32" spans="1:12" x14ac:dyDescent="0.2">
      <c r="A32" s="46"/>
      <c r="B32" s="27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G47+G51+G55+G59</f>
        <v>1.125</v>
      </c>
      <c r="H32" s="90">
        <f t="shared" ref="H32:K32" si="7">H47+H51+H55+H59</f>
        <v>0.5</v>
      </c>
      <c r="I32" s="69">
        <f t="shared" si="7"/>
        <v>0</v>
      </c>
      <c r="J32" s="90">
        <f t="shared" si="7"/>
        <v>0</v>
      </c>
      <c r="K32" s="112">
        <f t="shared" si="7"/>
        <v>0</v>
      </c>
    </row>
    <row r="33" spans="1:11" x14ac:dyDescent="0.2">
      <c r="A33" s="46"/>
      <c r="B33" s="28"/>
      <c r="C33" s="14" t="s">
        <v>108</v>
      </c>
      <c r="D33" s="39" t="s">
        <v>98</v>
      </c>
      <c r="E33" s="25"/>
      <c r="F33" s="25" t="s">
        <v>98</v>
      </c>
      <c r="G33" s="73">
        <f>G49+G53+G57+G61</f>
        <v>3.8250000000000002</v>
      </c>
      <c r="H33" s="93">
        <f t="shared" ref="H33:K33" si="8">H49+H53+H57+H61</f>
        <v>1.7</v>
      </c>
      <c r="I33" s="73">
        <f t="shared" si="8"/>
        <v>0</v>
      </c>
      <c r="J33" s="93">
        <f t="shared" si="8"/>
        <v>0</v>
      </c>
      <c r="K33" s="115">
        <f t="shared" si="8"/>
        <v>0</v>
      </c>
    </row>
    <row r="34" spans="1:11" x14ac:dyDescent="0.2">
      <c r="A34" s="46"/>
      <c r="B34" s="28"/>
      <c r="C34" s="14" t="s">
        <v>107</v>
      </c>
      <c r="D34" s="39" t="s">
        <v>98</v>
      </c>
      <c r="E34" s="25"/>
      <c r="F34" s="25" t="s">
        <v>98</v>
      </c>
      <c r="G34" s="73">
        <f>G48+G52+G56+G60</f>
        <v>2.125</v>
      </c>
      <c r="H34" s="93">
        <f t="shared" ref="H34:K34" si="9">H48+H52+H56+H60</f>
        <v>1.5</v>
      </c>
      <c r="I34" s="73">
        <f t="shared" si="9"/>
        <v>0</v>
      </c>
      <c r="J34" s="93">
        <f t="shared" si="9"/>
        <v>0</v>
      </c>
      <c r="K34" s="115">
        <f t="shared" si="9"/>
        <v>0</v>
      </c>
    </row>
    <row r="35" spans="1:11" x14ac:dyDescent="0.2">
      <c r="A35" s="46"/>
      <c r="B35" s="28"/>
      <c r="C35" s="14" t="s">
        <v>109</v>
      </c>
      <c r="D35" s="39" t="s">
        <v>98</v>
      </c>
      <c r="E35" s="25"/>
      <c r="F35" s="25" t="s">
        <v>98</v>
      </c>
      <c r="G35" s="73">
        <f>G50+G54+G58+G62</f>
        <v>1.35</v>
      </c>
      <c r="H35" s="93">
        <f t="shared" ref="H35:K35" si="10">H50+H54+H58+H62</f>
        <v>0.5</v>
      </c>
      <c r="I35" s="73">
        <f t="shared" si="10"/>
        <v>0</v>
      </c>
      <c r="J35" s="93">
        <f t="shared" si="10"/>
        <v>0</v>
      </c>
      <c r="K35" s="115">
        <f t="shared" si="10"/>
        <v>0</v>
      </c>
    </row>
    <row r="36" spans="1:11" x14ac:dyDescent="0.2">
      <c r="A36" s="46"/>
      <c r="B36" s="2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46"/>
      <c r="B37" s="2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46"/>
      <c r="B38" s="2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9</v>
      </c>
      <c r="H38" s="93">
        <f t="shared" ref="H38:K38" si="11">ROUNDUP(H32+H33+H34+H35+H36-H37,0)</f>
        <v>5</v>
      </c>
      <c r="I38" s="73">
        <f t="shared" si="11"/>
        <v>0</v>
      </c>
      <c r="J38" s="93">
        <f t="shared" si="11"/>
        <v>0</v>
      </c>
      <c r="K38" s="115">
        <f t="shared" si="11"/>
        <v>0</v>
      </c>
    </row>
    <row r="39" spans="1:11" x14ac:dyDescent="0.2">
      <c r="A39" s="46"/>
      <c r="B39" s="2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46"/>
      <c r="B40" s="2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2">H39</f>
        <v>0</v>
      </c>
      <c r="I40" s="73">
        <f t="shared" si="12"/>
        <v>0</v>
      </c>
      <c r="J40" s="93">
        <f t="shared" si="12"/>
        <v>0</v>
      </c>
      <c r="K40" s="115">
        <f t="shared" si="12"/>
        <v>0</v>
      </c>
    </row>
    <row r="41" spans="1:11" x14ac:dyDescent="0.2">
      <c r="A41" s="46"/>
      <c r="B41" s="2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46"/>
      <c r="B42" s="2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46"/>
      <c r="B43" s="2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 t="shared" ref="H43:K43" si="13">ROUND(H21,0)+ROUND(H22,0)+ROUND(H23,0)+ROUND(H24,0)+ROUND(H25,0)+ROUND(H26,0)-ROUND(H36,0)+ROUND(H19,0)+ROUND(H20,0)</f>
        <v>0</v>
      </c>
      <c r="I43" s="73">
        <f t="shared" si="13"/>
        <v>0</v>
      </c>
      <c r="J43" s="93">
        <f t="shared" si="13"/>
        <v>0</v>
      </c>
      <c r="K43" s="115">
        <f t="shared" si="13"/>
        <v>0</v>
      </c>
    </row>
    <row r="44" spans="1:11" x14ac:dyDescent="0.2">
      <c r="A44" s="46"/>
      <c r="B44" s="28"/>
      <c r="C44" s="3" t="s">
        <v>409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0</v>
      </c>
      <c r="I44" s="73">
        <f t="shared" ref="I44:K44" si="14">IF(I43-H43&gt;0,I43-H43,0)</f>
        <v>0</v>
      </c>
      <c r="J44" s="93">
        <f t="shared" si="14"/>
        <v>0</v>
      </c>
      <c r="K44" s="115">
        <f t="shared" si="14"/>
        <v>0</v>
      </c>
    </row>
    <row r="45" spans="1:11" x14ac:dyDescent="0.2">
      <c r="A45" s="46"/>
      <c r="B45" s="2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47"/>
      <c r="B46" s="24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>IF(H45-G45&gt;0,H45-G45,0)</f>
        <v>0</v>
      </c>
      <c r="I46" s="71">
        <f t="shared" ref="I46" si="15">IF(I45-H45&gt;0,I45-H45,0)</f>
        <v>0</v>
      </c>
      <c r="J46" s="92">
        <f t="shared" ref="J46" si="16">IF(J45-I45&gt;0,J45-I45,0)</f>
        <v>0</v>
      </c>
      <c r="K46" s="114">
        <f t="shared" ref="K46" si="17">IF(K45-J45&gt;0,K45-J45,0)</f>
        <v>0</v>
      </c>
    </row>
    <row r="47" spans="1:11" x14ac:dyDescent="0.2">
      <c r="A47" s="23" t="s">
        <v>317</v>
      </c>
      <c r="B47" s="28" t="s">
        <v>318</v>
      </c>
      <c r="C47" s="13" t="s">
        <v>196</v>
      </c>
      <c r="D47" s="40" t="s">
        <v>98</v>
      </c>
      <c r="E47" s="19"/>
      <c r="F47" s="19" t="s">
        <v>98</v>
      </c>
      <c r="G47" s="70">
        <v>0.25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23"/>
      <c r="B48" s="28"/>
      <c r="C48" s="13" t="s">
        <v>197</v>
      </c>
      <c r="D48" s="39" t="s">
        <v>98</v>
      </c>
      <c r="E48" s="17"/>
      <c r="F48" s="17" t="s">
        <v>98</v>
      </c>
      <c r="G48" s="73">
        <v>1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23"/>
      <c r="B49" s="28"/>
      <c r="C49" s="13" t="s">
        <v>198</v>
      </c>
      <c r="D49" s="39" t="s">
        <v>98</v>
      </c>
      <c r="E49" s="17"/>
      <c r="F49" s="17" t="s">
        <v>98</v>
      </c>
      <c r="G49" s="73">
        <v>0.85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23"/>
      <c r="B50" s="28"/>
      <c r="C50" s="13" t="s">
        <v>199</v>
      </c>
      <c r="D50" s="39" t="s">
        <v>98</v>
      </c>
      <c r="E50" s="17"/>
      <c r="F50" s="17" t="s">
        <v>98</v>
      </c>
      <c r="G50" s="73">
        <v>0.85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23"/>
      <c r="B51" s="28"/>
      <c r="C51" s="3" t="s">
        <v>200</v>
      </c>
      <c r="D51" s="39" t="s">
        <v>98</v>
      </c>
      <c r="E51" s="17"/>
      <c r="F51" s="17" t="s">
        <v>98</v>
      </c>
      <c r="G51" s="73">
        <v>0.625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23"/>
      <c r="B52" s="28"/>
      <c r="C52" s="3" t="s">
        <v>201</v>
      </c>
      <c r="D52" s="39" t="s">
        <v>98</v>
      </c>
      <c r="E52" s="17"/>
      <c r="F52" s="17" t="s">
        <v>98</v>
      </c>
      <c r="G52" s="73">
        <v>0.125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23"/>
      <c r="B53" s="28"/>
      <c r="C53" s="3" t="s">
        <v>202</v>
      </c>
      <c r="D53" s="39" t="s">
        <v>98</v>
      </c>
      <c r="E53" s="17"/>
      <c r="F53" s="17" t="s">
        <v>98</v>
      </c>
      <c r="G53" s="73">
        <v>2.125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23"/>
      <c r="B54" s="28"/>
      <c r="C54" s="3" t="s">
        <v>203</v>
      </c>
      <c r="D54" s="39" t="s">
        <v>98</v>
      </c>
      <c r="E54" s="17"/>
      <c r="F54" s="17" t="s">
        <v>98</v>
      </c>
      <c r="G54" s="73">
        <v>0.25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23"/>
      <c r="B55" s="28"/>
      <c r="C55" s="3" t="s">
        <v>204</v>
      </c>
      <c r="D55" s="39" t="s">
        <v>98</v>
      </c>
      <c r="E55" s="17"/>
      <c r="F55" s="17" t="s">
        <v>98</v>
      </c>
      <c r="G55" s="73">
        <v>0.25</v>
      </c>
      <c r="H55" s="93">
        <v>0.25</v>
      </c>
      <c r="I55" s="73">
        <v>0</v>
      </c>
      <c r="J55" s="93">
        <v>0</v>
      </c>
      <c r="K55" s="115">
        <v>0</v>
      </c>
    </row>
    <row r="56" spans="1:11" x14ac:dyDescent="0.2">
      <c r="A56" s="23"/>
      <c r="B56" s="28"/>
      <c r="C56" s="3" t="s">
        <v>205</v>
      </c>
      <c r="D56" s="39" t="s">
        <v>98</v>
      </c>
      <c r="E56" s="17"/>
      <c r="F56" s="17" t="s">
        <v>98</v>
      </c>
      <c r="G56" s="73">
        <v>1</v>
      </c>
      <c r="H56" s="93">
        <v>1</v>
      </c>
      <c r="I56" s="73">
        <v>0</v>
      </c>
      <c r="J56" s="93">
        <v>0</v>
      </c>
      <c r="K56" s="115">
        <v>0</v>
      </c>
    </row>
    <row r="57" spans="1:11" x14ac:dyDescent="0.2">
      <c r="A57" s="23"/>
      <c r="B57" s="28"/>
      <c r="C57" s="3" t="s">
        <v>206</v>
      </c>
      <c r="D57" s="39" t="s">
        <v>98</v>
      </c>
      <c r="E57" s="17"/>
      <c r="F57" s="17" t="s">
        <v>98</v>
      </c>
      <c r="G57" s="73">
        <v>0.85</v>
      </c>
      <c r="H57" s="93">
        <v>0.85</v>
      </c>
      <c r="I57" s="73">
        <v>0</v>
      </c>
      <c r="J57" s="93">
        <v>0</v>
      </c>
      <c r="K57" s="115">
        <v>0</v>
      </c>
    </row>
    <row r="58" spans="1:11" x14ac:dyDescent="0.2">
      <c r="A58" s="23"/>
      <c r="B58" s="28"/>
      <c r="C58" s="3" t="s">
        <v>207</v>
      </c>
      <c r="D58" s="39" t="s">
        <v>98</v>
      </c>
      <c r="E58" s="17"/>
      <c r="F58" s="17" t="s">
        <v>98</v>
      </c>
      <c r="G58" s="73">
        <v>0.25</v>
      </c>
      <c r="H58" s="93">
        <v>0.25</v>
      </c>
      <c r="I58" s="73">
        <v>0</v>
      </c>
      <c r="J58" s="93">
        <v>0</v>
      </c>
      <c r="K58" s="115">
        <v>0</v>
      </c>
    </row>
    <row r="59" spans="1:11" x14ac:dyDescent="0.2">
      <c r="A59" s="23"/>
      <c r="B59" s="28"/>
      <c r="C59" s="3" t="s">
        <v>208</v>
      </c>
      <c r="D59" s="39" t="s">
        <v>98</v>
      </c>
      <c r="E59" s="17"/>
      <c r="F59" s="17" t="s">
        <v>98</v>
      </c>
      <c r="G59" s="73">
        <v>0</v>
      </c>
      <c r="H59" s="93">
        <v>0.25</v>
      </c>
      <c r="I59" s="73">
        <v>0</v>
      </c>
      <c r="J59" s="93">
        <v>0</v>
      </c>
      <c r="K59" s="115">
        <v>0</v>
      </c>
    </row>
    <row r="60" spans="1:11" x14ac:dyDescent="0.2">
      <c r="A60" s="23"/>
      <c r="B60" s="28"/>
      <c r="C60" s="3" t="s">
        <v>209</v>
      </c>
      <c r="D60" s="39" t="s">
        <v>98</v>
      </c>
      <c r="E60" s="17"/>
      <c r="F60" s="17" t="s">
        <v>98</v>
      </c>
      <c r="G60" s="73">
        <v>0</v>
      </c>
      <c r="H60" s="93">
        <v>0.5</v>
      </c>
      <c r="I60" s="73">
        <v>0</v>
      </c>
      <c r="J60" s="93">
        <v>0</v>
      </c>
      <c r="K60" s="115">
        <v>0</v>
      </c>
    </row>
    <row r="61" spans="1:11" x14ac:dyDescent="0.2">
      <c r="A61" s="23"/>
      <c r="B61" s="28"/>
      <c r="C61" s="3" t="s">
        <v>210</v>
      </c>
      <c r="D61" s="39" t="s">
        <v>98</v>
      </c>
      <c r="E61" s="17"/>
      <c r="F61" s="17" t="s">
        <v>98</v>
      </c>
      <c r="G61" s="73">
        <v>0</v>
      </c>
      <c r="H61" s="93">
        <v>0.85</v>
      </c>
      <c r="I61" s="73">
        <v>0</v>
      </c>
      <c r="J61" s="93">
        <v>0</v>
      </c>
      <c r="K61" s="115">
        <v>0</v>
      </c>
    </row>
    <row r="62" spans="1:11" ht="13.5" thickBot="1" x14ac:dyDescent="0.25">
      <c r="A62" s="23"/>
      <c r="B62" s="29"/>
      <c r="C62" s="30" t="s">
        <v>211</v>
      </c>
      <c r="D62" s="43" t="s">
        <v>98</v>
      </c>
      <c r="E62" s="31"/>
      <c r="F62" s="31" t="s">
        <v>98</v>
      </c>
      <c r="G62" s="71">
        <v>0</v>
      </c>
      <c r="H62" s="92">
        <v>0.25</v>
      </c>
      <c r="I62" s="71">
        <v>0</v>
      </c>
      <c r="J62" s="92">
        <v>0</v>
      </c>
      <c r="K62" s="114">
        <v>0</v>
      </c>
    </row>
    <row r="63" spans="1:11" x14ac:dyDescent="0.2">
      <c r="A63" s="45" t="s">
        <v>320</v>
      </c>
      <c r="B63" s="23" t="s">
        <v>318</v>
      </c>
      <c r="C63" s="3" t="s">
        <v>196</v>
      </c>
      <c r="D63" s="42" t="s">
        <v>98</v>
      </c>
      <c r="E63" s="17"/>
      <c r="F63" s="17" t="s">
        <v>98</v>
      </c>
      <c r="G63" s="73">
        <v>4</v>
      </c>
      <c r="H63" s="93">
        <v>0</v>
      </c>
      <c r="I63" s="73">
        <v>0</v>
      </c>
      <c r="J63" s="93">
        <v>0</v>
      </c>
      <c r="K63" s="115">
        <v>0</v>
      </c>
    </row>
    <row r="64" spans="1:11" x14ac:dyDescent="0.2">
      <c r="A64" s="46"/>
      <c r="B64" s="23"/>
      <c r="C64" s="3" t="s">
        <v>197</v>
      </c>
      <c r="D64" s="39" t="s">
        <v>98</v>
      </c>
      <c r="E64" s="17"/>
      <c r="F64" s="17" t="s">
        <v>98</v>
      </c>
      <c r="G64" s="73">
        <v>4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6"/>
      <c r="B65" s="23"/>
      <c r="C65" s="3" t="s">
        <v>198</v>
      </c>
      <c r="D65" s="39" t="s">
        <v>98</v>
      </c>
      <c r="E65" s="17"/>
      <c r="F65" s="17" t="s">
        <v>98</v>
      </c>
      <c r="G65" s="73">
        <v>4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6"/>
      <c r="B66" s="23"/>
      <c r="C66" s="3" t="s">
        <v>199</v>
      </c>
      <c r="D66" s="39" t="s">
        <v>98</v>
      </c>
      <c r="E66" s="17"/>
      <c r="F66" s="17" t="s">
        <v>98</v>
      </c>
      <c r="G66" s="73">
        <v>4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46"/>
      <c r="B67" s="23"/>
      <c r="C67" s="3" t="s">
        <v>200</v>
      </c>
      <c r="D67" s="39" t="s">
        <v>98</v>
      </c>
      <c r="E67" s="17"/>
      <c r="F67" s="17" t="s">
        <v>98</v>
      </c>
      <c r="G67" s="73">
        <v>6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46"/>
      <c r="B68" s="23"/>
      <c r="C68" s="3" t="s">
        <v>201</v>
      </c>
      <c r="D68" s="39" t="s">
        <v>98</v>
      </c>
      <c r="E68" s="17"/>
      <c r="F68" s="17" t="s">
        <v>98</v>
      </c>
      <c r="G68" s="73">
        <v>6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46"/>
      <c r="B69" s="23"/>
      <c r="C69" s="3" t="s">
        <v>202</v>
      </c>
      <c r="D69" s="39" t="s">
        <v>98</v>
      </c>
      <c r="E69" s="17"/>
      <c r="F69" s="17" t="s">
        <v>98</v>
      </c>
      <c r="G69" s="73">
        <v>6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46"/>
      <c r="B70" s="23"/>
      <c r="C70" s="3" t="s">
        <v>203</v>
      </c>
      <c r="D70" s="39" t="s">
        <v>98</v>
      </c>
      <c r="E70" s="17"/>
      <c r="F70" s="17" t="s">
        <v>98</v>
      </c>
      <c r="G70" s="73">
        <v>6</v>
      </c>
      <c r="H70" s="93">
        <v>0</v>
      </c>
      <c r="I70" s="73">
        <v>0</v>
      </c>
      <c r="J70" s="93">
        <v>0</v>
      </c>
      <c r="K70" s="115">
        <v>0</v>
      </c>
    </row>
    <row r="71" spans="1:11" x14ac:dyDescent="0.2">
      <c r="A71" s="46"/>
      <c r="B71" s="23"/>
      <c r="C71" s="3" t="s">
        <v>204</v>
      </c>
      <c r="D71" s="39" t="s">
        <v>98</v>
      </c>
      <c r="E71" s="17"/>
      <c r="F71" s="17" t="s">
        <v>98</v>
      </c>
      <c r="G71" s="73">
        <v>2.5</v>
      </c>
      <c r="H71" s="93">
        <v>1.5</v>
      </c>
      <c r="I71" s="73">
        <v>0</v>
      </c>
      <c r="J71" s="93">
        <v>0</v>
      </c>
      <c r="K71" s="115">
        <v>0</v>
      </c>
    </row>
    <row r="72" spans="1:11" x14ac:dyDescent="0.2">
      <c r="A72" s="46"/>
      <c r="B72" s="23"/>
      <c r="C72" s="3" t="s">
        <v>205</v>
      </c>
      <c r="D72" s="39" t="s">
        <v>98</v>
      </c>
      <c r="E72" s="17"/>
      <c r="F72" s="17" t="s">
        <v>98</v>
      </c>
      <c r="G72" s="73">
        <v>2.5</v>
      </c>
      <c r="H72" s="93">
        <v>1.5</v>
      </c>
      <c r="I72" s="73">
        <v>0</v>
      </c>
      <c r="J72" s="93">
        <v>0</v>
      </c>
      <c r="K72" s="115">
        <v>0</v>
      </c>
    </row>
    <row r="73" spans="1:11" x14ac:dyDescent="0.2">
      <c r="A73" s="46"/>
      <c r="B73" s="23"/>
      <c r="C73" s="3" t="s">
        <v>206</v>
      </c>
      <c r="D73" s="39" t="s">
        <v>98</v>
      </c>
      <c r="E73" s="17"/>
      <c r="F73" s="17" t="s">
        <v>98</v>
      </c>
      <c r="G73" s="73">
        <v>2.5</v>
      </c>
      <c r="H73" s="93">
        <v>1.5</v>
      </c>
      <c r="I73" s="73">
        <v>0</v>
      </c>
      <c r="J73" s="93">
        <v>0</v>
      </c>
      <c r="K73" s="115">
        <v>0</v>
      </c>
    </row>
    <row r="74" spans="1:11" x14ac:dyDescent="0.2">
      <c r="A74" s="46"/>
      <c r="B74" s="23"/>
      <c r="C74" s="3" t="s">
        <v>207</v>
      </c>
      <c r="D74" s="39" t="s">
        <v>98</v>
      </c>
      <c r="E74" s="17"/>
      <c r="F74" s="17" t="s">
        <v>98</v>
      </c>
      <c r="G74" s="73">
        <v>2.5</v>
      </c>
      <c r="H74" s="93">
        <v>1.5</v>
      </c>
      <c r="I74" s="73">
        <v>0</v>
      </c>
      <c r="J74" s="93">
        <v>0</v>
      </c>
      <c r="K74" s="115">
        <v>0</v>
      </c>
    </row>
    <row r="75" spans="1:11" x14ac:dyDescent="0.2">
      <c r="A75" s="46"/>
      <c r="B75" s="23"/>
      <c r="C75" s="3" t="s">
        <v>208</v>
      </c>
      <c r="D75" s="39" t="s">
        <v>98</v>
      </c>
      <c r="E75" s="17"/>
      <c r="F75" s="17" t="s">
        <v>98</v>
      </c>
      <c r="G75" s="73">
        <v>0</v>
      </c>
      <c r="H75" s="93">
        <v>3</v>
      </c>
      <c r="I75" s="73">
        <v>0</v>
      </c>
      <c r="J75" s="93">
        <v>0</v>
      </c>
      <c r="K75" s="115">
        <v>0</v>
      </c>
    </row>
    <row r="76" spans="1:11" x14ac:dyDescent="0.2">
      <c r="A76" s="46"/>
      <c r="B76" s="23"/>
      <c r="C76" s="3" t="s">
        <v>209</v>
      </c>
      <c r="D76" s="39" t="s">
        <v>98</v>
      </c>
      <c r="E76" s="17"/>
      <c r="F76" s="17" t="s">
        <v>98</v>
      </c>
      <c r="G76" s="73">
        <v>0</v>
      </c>
      <c r="H76" s="93">
        <v>3</v>
      </c>
      <c r="I76" s="73">
        <v>0</v>
      </c>
      <c r="J76" s="93">
        <v>0</v>
      </c>
      <c r="K76" s="115">
        <v>0</v>
      </c>
    </row>
    <row r="77" spans="1:11" x14ac:dyDescent="0.2">
      <c r="A77" s="46"/>
      <c r="B77" s="23"/>
      <c r="C77" s="3" t="s">
        <v>210</v>
      </c>
      <c r="D77" s="39" t="s">
        <v>98</v>
      </c>
      <c r="E77" s="17"/>
      <c r="F77" s="17" t="s">
        <v>98</v>
      </c>
      <c r="G77" s="73">
        <v>0</v>
      </c>
      <c r="H77" s="93">
        <v>3</v>
      </c>
      <c r="I77" s="73">
        <v>0</v>
      </c>
      <c r="J77" s="93">
        <v>0</v>
      </c>
      <c r="K77" s="115">
        <v>0</v>
      </c>
    </row>
    <row r="78" spans="1:11" ht="13.5" thickBot="1" x14ac:dyDescent="0.25">
      <c r="A78" s="47"/>
      <c r="B78" s="24"/>
      <c r="C78" s="30" t="s">
        <v>211</v>
      </c>
      <c r="D78" s="144" t="s">
        <v>98</v>
      </c>
      <c r="E78" s="31"/>
      <c r="F78" s="31" t="s">
        <v>98</v>
      </c>
      <c r="G78" s="71">
        <v>0</v>
      </c>
      <c r="H78" s="92">
        <v>3</v>
      </c>
      <c r="I78" s="71">
        <v>0</v>
      </c>
      <c r="J78" s="92">
        <v>0</v>
      </c>
      <c r="K78" s="114">
        <v>0</v>
      </c>
    </row>
    <row r="79" spans="1:11" x14ac:dyDescent="0.2">
      <c r="A79" s="23" t="s">
        <v>321</v>
      </c>
      <c r="B79" s="23" t="s">
        <v>318</v>
      </c>
      <c r="C79" s="3" t="s">
        <v>196</v>
      </c>
      <c r="D79" s="40" t="s">
        <v>110</v>
      </c>
      <c r="E79" s="17"/>
      <c r="F79" s="17" t="s">
        <v>29</v>
      </c>
      <c r="G79" s="75">
        <f>G47*G63*G5</f>
        <v>1776</v>
      </c>
      <c r="H79" s="95">
        <f>H47*H63*H5</f>
        <v>0</v>
      </c>
      <c r="I79" s="75">
        <f>I47*I63*I5</f>
        <v>0</v>
      </c>
      <c r="J79" s="95">
        <f>J47*J63*J5</f>
        <v>0</v>
      </c>
      <c r="K79" s="117">
        <f>K47*K63*K5</f>
        <v>0</v>
      </c>
    </row>
    <row r="80" spans="1:11" x14ac:dyDescent="0.2">
      <c r="A80" s="23"/>
      <c r="B80" s="23"/>
      <c r="C80" s="3" t="s">
        <v>197</v>
      </c>
      <c r="D80" s="39" t="s">
        <v>112</v>
      </c>
      <c r="E80" s="17"/>
      <c r="F80" s="17" t="s">
        <v>29</v>
      </c>
      <c r="G80" s="75">
        <f>G64*G48*G8</f>
        <v>7560</v>
      </c>
      <c r="H80" s="95">
        <f>H64*H48*H8</f>
        <v>0</v>
      </c>
      <c r="I80" s="75">
        <f>I64*I48*I8</f>
        <v>0</v>
      </c>
      <c r="J80" s="95">
        <f>J64*J48*J8</f>
        <v>0</v>
      </c>
      <c r="K80" s="117">
        <f>K64*K48*K8</f>
        <v>0</v>
      </c>
    </row>
    <row r="81" spans="1:11" x14ac:dyDescent="0.2">
      <c r="A81" s="23"/>
      <c r="B81" s="23"/>
      <c r="C81" s="3" t="s">
        <v>198</v>
      </c>
      <c r="D81" s="39" t="s">
        <v>111</v>
      </c>
      <c r="E81" s="17"/>
      <c r="F81" s="17" t="s">
        <v>29</v>
      </c>
      <c r="G81" s="75">
        <f>G65*G49*G7</f>
        <v>6038.4</v>
      </c>
      <c r="H81" s="95">
        <f>H65*H49*H7</f>
        <v>0</v>
      </c>
      <c r="I81" s="75">
        <f>I65*I49*I7</f>
        <v>0</v>
      </c>
      <c r="J81" s="95">
        <f>J65*J49*J7</f>
        <v>0</v>
      </c>
      <c r="K81" s="117">
        <f>K65*K49*K7</f>
        <v>0</v>
      </c>
    </row>
    <row r="82" spans="1:11" x14ac:dyDescent="0.2">
      <c r="A82" s="23"/>
      <c r="B82" s="23"/>
      <c r="C82" s="3" t="s">
        <v>199</v>
      </c>
      <c r="D82" s="39" t="s">
        <v>113</v>
      </c>
      <c r="E82" s="17"/>
      <c r="F82" s="17" t="s">
        <v>29</v>
      </c>
      <c r="G82" s="75">
        <f>G66*G50*G9</f>
        <v>6038.4</v>
      </c>
      <c r="H82" s="95">
        <f>H66*H50*H9</f>
        <v>0</v>
      </c>
      <c r="I82" s="75">
        <f>I66*I50*I9</f>
        <v>0</v>
      </c>
      <c r="J82" s="95">
        <f>J66*J50*J9</f>
        <v>0</v>
      </c>
      <c r="K82" s="117">
        <f>K66*K50*K9</f>
        <v>0</v>
      </c>
    </row>
    <row r="83" spans="1:11" x14ac:dyDescent="0.2">
      <c r="A83" s="23"/>
      <c r="B83" s="23"/>
      <c r="C83" s="3" t="s">
        <v>200</v>
      </c>
      <c r="D83" s="39" t="s">
        <v>110</v>
      </c>
      <c r="E83" s="17"/>
      <c r="F83" s="17" t="s">
        <v>29</v>
      </c>
      <c r="G83" s="75">
        <f>G67*G51*G5</f>
        <v>6660</v>
      </c>
      <c r="H83" s="95">
        <f>H67*H51*H5</f>
        <v>0</v>
      </c>
      <c r="I83" s="75">
        <f>I67*I51*I5</f>
        <v>0</v>
      </c>
      <c r="J83" s="95">
        <f>J67*J51*J5</f>
        <v>0</v>
      </c>
      <c r="K83" s="117">
        <f>K67*K51*K5</f>
        <v>0</v>
      </c>
    </row>
    <row r="84" spans="1:11" x14ac:dyDescent="0.2">
      <c r="A84" s="23"/>
      <c r="B84" s="23"/>
      <c r="C84" s="3" t="s">
        <v>201</v>
      </c>
      <c r="D84" s="39" t="s">
        <v>112</v>
      </c>
      <c r="E84" s="17"/>
      <c r="F84" s="17" t="s">
        <v>29</v>
      </c>
      <c r="G84" s="75">
        <f>G68*G52*G8</f>
        <v>1417.5</v>
      </c>
      <c r="H84" s="95">
        <f>H68*H52*H8</f>
        <v>0</v>
      </c>
      <c r="I84" s="75">
        <f>I68*I52*I8</f>
        <v>0</v>
      </c>
      <c r="J84" s="95">
        <f>J68*J52*J8</f>
        <v>0</v>
      </c>
      <c r="K84" s="117">
        <f>K68*K52*K8</f>
        <v>0</v>
      </c>
    </row>
    <row r="85" spans="1:11" x14ac:dyDescent="0.2">
      <c r="A85" s="23"/>
      <c r="B85" s="23"/>
      <c r="C85" s="3" t="s">
        <v>202</v>
      </c>
      <c r="D85" s="39" t="s">
        <v>111</v>
      </c>
      <c r="E85" s="17"/>
      <c r="F85" s="17" t="s">
        <v>29</v>
      </c>
      <c r="G85" s="75">
        <f>G69*G53*G7</f>
        <v>22644</v>
      </c>
      <c r="H85" s="95">
        <f>H69*H53*H7</f>
        <v>0</v>
      </c>
      <c r="I85" s="75">
        <f>I69*I53*I7</f>
        <v>0</v>
      </c>
      <c r="J85" s="95">
        <f>J69*J53*J7</f>
        <v>0</v>
      </c>
      <c r="K85" s="117">
        <f>K69*K53*K7</f>
        <v>0</v>
      </c>
    </row>
    <row r="86" spans="1:11" x14ac:dyDescent="0.2">
      <c r="A86" s="23"/>
      <c r="B86" s="23"/>
      <c r="C86" s="3" t="s">
        <v>203</v>
      </c>
      <c r="D86" s="39" t="s">
        <v>113</v>
      </c>
      <c r="E86" s="17"/>
      <c r="F86" s="17" t="s">
        <v>29</v>
      </c>
      <c r="G86" s="75">
        <f>G70*G54*G9</f>
        <v>2664</v>
      </c>
      <c r="H86" s="95">
        <f>H70*H54*H9</f>
        <v>0</v>
      </c>
      <c r="I86" s="75">
        <f>I70*I54*I9</f>
        <v>0</v>
      </c>
      <c r="J86" s="95">
        <f>J70*J54*J9</f>
        <v>0</v>
      </c>
      <c r="K86" s="117">
        <f>K70*K54*K9</f>
        <v>0</v>
      </c>
    </row>
    <row r="87" spans="1:11" x14ac:dyDescent="0.2">
      <c r="A87" s="23"/>
      <c r="B87" s="23"/>
      <c r="C87" s="3" t="s">
        <v>204</v>
      </c>
      <c r="D87" s="39" t="s">
        <v>110</v>
      </c>
      <c r="E87" s="17"/>
      <c r="F87" s="17" t="s">
        <v>29</v>
      </c>
      <c r="G87" s="75">
        <f>G71*G55*G5</f>
        <v>1110</v>
      </c>
      <c r="H87" s="95">
        <f>H71*H55*H5</f>
        <v>675.99</v>
      </c>
      <c r="I87" s="75">
        <f>I71*I55*I5</f>
        <v>0</v>
      </c>
      <c r="J87" s="95">
        <f>J71*J55*J5</f>
        <v>0</v>
      </c>
      <c r="K87" s="117">
        <f>K71*K55*K5</f>
        <v>0</v>
      </c>
    </row>
    <row r="88" spans="1:11" x14ac:dyDescent="0.2">
      <c r="A88" s="23"/>
      <c r="B88" s="23"/>
      <c r="C88" s="3" t="s">
        <v>205</v>
      </c>
      <c r="D88" s="39" t="s">
        <v>112</v>
      </c>
      <c r="E88" s="17"/>
      <c r="F88" s="17" t="s">
        <v>29</v>
      </c>
      <c r="G88" s="75">
        <f>G72*G56*G8</f>
        <v>4725</v>
      </c>
      <c r="H88" s="95">
        <f>H72*H56*H8</f>
        <v>2877.5249999999996</v>
      </c>
      <c r="I88" s="75">
        <f>I72*I56*I8</f>
        <v>0</v>
      </c>
      <c r="J88" s="95">
        <f>J72*J56*J8</f>
        <v>0</v>
      </c>
      <c r="K88" s="117">
        <f>K72*K56*K8</f>
        <v>0</v>
      </c>
    </row>
    <row r="89" spans="1:11" x14ac:dyDescent="0.2">
      <c r="A89" s="23"/>
      <c r="B89" s="23"/>
      <c r="C89" s="3" t="s">
        <v>206</v>
      </c>
      <c r="D89" s="39" t="s">
        <v>111</v>
      </c>
      <c r="E89" s="17"/>
      <c r="F89" s="17" t="s">
        <v>29</v>
      </c>
      <c r="G89" s="75">
        <f>G69*G57*G7</f>
        <v>9057.5999999999985</v>
      </c>
      <c r="H89" s="95">
        <f>H69*H57*H7</f>
        <v>0</v>
      </c>
      <c r="I89" s="75">
        <f>I69*I57*I7</f>
        <v>0</v>
      </c>
      <c r="J89" s="95">
        <f>J69*J57*J7</f>
        <v>0</v>
      </c>
      <c r="K89" s="117">
        <f>K69*K57*K7</f>
        <v>0</v>
      </c>
    </row>
    <row r="90" spans="1:11" x14ac:dyDescent="0.2">
      <c r="A90" s="23"/>
      <c r="B90" s="23"/>
      <c r="C90" s="3" t="s">
        <v>207</v>
      </c>
      <c r="D90" s="39" t="s">
        <v>113</v>
      </c>
      <c r="E90" s="17"/>
      <c r="F90" s="17" t="s">
        <v>29</v>
      </c>
      <c r="G90" s="75">
        <f>G74*G58*G9</f>
        <v>1110</v>
      </c>
      <c r="H90" s="95">
        <f>H74*H58*H9</f>
        <v>675.99</v>
      </c>
      <c r="I90" s="75">
        <f>I74*I58*I9</f>
        <v>0</v>
      </c>
      <c r="J90" s="95">
        <f>J74*J58*J9</f>
        <v>0</v>
      </c>
      <c r="K90" s="117">
        <f>K74*K58*K9</f>
        <v>0</v>
      </c>
    </row>
    <row r="91" spans="1:11" x14ac:dyDescent="0.2">
      <c r="A91" s="23"/>
      <c r="B91" s="23"/>
      <c r="C91" s="3" t="s">
        <v>208</v>
      </c>
      <c r="D91" s="39" t="s">
        <v>110</v>
      </c>
      <c r="E91" s="17"/>
      <c r="F91" s="17" t="s">
        <v>29</v>
      </c>
      <c r="G91" s="75">
        <f>G75*G59*G5</f>
        <v>0</v>
      </c>
      <c r="H91" s="95">
        <f>H75*H59*H5</f>
        <v>1351.98</v>
      </c>
      <c r="I91" s="75">
        <f>I75*I59*I5</f>
        <v>0</v>
      </c>
      <c r="J91" s="95">
        <f>J75*J59*J5</f>
        <v>0</v>
      </c>
      <c r="K91" s="117">
        <f>K75*K59*K5</f>
        <v>0</v>
      </c>
    </row>
    <row r="92" spans="1:11" x14ac:dyDescent="0.2">
      <c r="A92" s="23"/>
      <c r="B92" s="23"/>
      <c r="C92" s="3" t="s">
        <v>209</v>
      </c>
      <c r="D92" s="39" t="s">
        <v>112</v>
      </c>
      <c r="E92" s="17"/>
      <c r="F92" s="17" t="s">
        <v>29</v>
      </c>
      <c r="G92" s="75">
        <f>G76*G60*G8</f>
        <v>0</v>
      </c>
      <c r="H92" s="95">
        <f>H76*H60*H8</f>
        <v>2877.5249999999996</v>
      </c>
      <c r="I92" s="75">
        <f>I76*I60*I8</f>
        <v>0</v>
      </c>
      <c r="J92" s="95">
        <f>J76*J60*J8</f>
        <v>0</v>
      </c>
      <c r="K92" s="117">
        <f>K76*K60*K8</f>
        <v>0</v>
      </c>
    </row>
    <row r="93" spans="1:11" x14ac:dyDescent="0.2">
      <c r="A93" s="23"/>
      <c r="B93" s="23"/>
      <c r="C93" s="3" t="s">
        <v>210</v>
      </c>
      <c r="D93" s="39" t="s">
        <v>111</v>
      </c>
      <c r="E93" s="17"/>
      <c r="F93" s="17" t="s">
        <v>29</v>
      </c>
      <c r="G93" s="75">
        <f>G77*G61*G7</f>
        <v>0</v>
      </c>
      <c r="H93" s="95">
        <f>H77*H61*H7</f>
        <v>4596.7319999999991</v>
      </c>
      <c r="I93" s="75">
        <f>I77*I61*I7</f>
        <v>0</v>
      </c>
      <c r="J93" s="95">
        <f>J77*J61*J7</f>
        <v>0</v>
      </c>
      <c r="K93" s="117">
        <f>K77*K61*K7</f>
        <v>0</v>
      </c>
    </row>
    <row r="94" spans="1:11" x14ac:dyDescent="0.2">
      <c r="A94" s="23"/>
      <c r="B94" s="23"/>
      <c r="C94" s="3" t="s">
        <v>211</v>
      </c>
      <c r="D94" s="39" t="s">
        <v>113</v>
      </c>
      <c r="E94" s="17"/>
      <c r="F94" s="17" t="s">
        <v>29</v>
      </c>
      <c r="G94" s="75">
        <f>G78*G62*G9</f>
        <v>0</v>
      </c>
      <c r="H94" s="95">
        <f>H78*H62*H9</f>
        <v>1351.98</v>
      </c>
      <c r="I94" s="75">
        <f>I78*I62*I9</f>
        <v>0</v>
      </c>
      <c r="J94" s="95">
        <f>J78*J62*J9</f>
        <v>0</v>
      </c>
      <c r="K94" s="117">
        <f>K78*K62*K9</f>
        <v>0</v>
      </c>
    </row>
    <row r="95" spans="1:11" x14ac:dyDescent="0.2">
      <c r="A95" s="23"/>
      <c r="B95" s="28"/>
      <c r="C95" s="3" t="s">
        <v>125</v>
      </c>
      <c r="D95" s="39" t="s">
        <v>98</v>
      </c>
      <c r="E95" s="17"/>
      <c r="F95" s="17" t="s">
        <v>98</v>
      </c>
      <c r="G95" s="75">
        <f>SUM(G79:G82)</f>
        <v>21412.799999999999</v>
      </c>
      <c r="H95" s="95">
        <f t="shared" ref="H95:K95" si="18">SUM(H79:H82)</f>
        <v>0</v>
      </c>
      <c r="I95" s="75">
        <f t="shared" si="18"/>
        <v>0</v>
      </c>
      <c r="J95" s="95">
        <f t="shared" si="18"/>
        <v>0</v>
      </c>
      <c r="K95" s="117">
        <f t="shared" si="18"/>
        <v>0</v>
      </c>
    </row>
    <row r="96" spans="1:11" x14ac:dyDescent="0.2">
      <c r="A96" s="23"/>
      <c r="B96" s="28"/>
      <c r="C96" s="3" t="s">
        <v>126</v>
      </c>
      <c r="D96" s="39" t="s">
        <v>98</v>
      </c>
      <c r="E96" s="17"/>
      <c r="F96" s="17" t="s">
        <v>98</v>
      </c>
      <c r="G96" s="75">
        <f>SUM(G83:G86)</f>
        <v>33385.5</v>
      </c>
      <c r="H96" s="95">
        <f t="shared" ref="H96:K96" si="19">SUM(H83:H86)</f>
        <v>0</v>
      </c>
      <c r="I96" s="75">
        <f t="shared" si="19"/>
        <v>0</v>
      </c>
      <c r="J96" s="95">
        <f t="shared" si="19"/>
        <v>0</v>
      </c>
      <c r="K96" s="117">
        <f t="shared" si="19"/>
        <v>0</v>
      </c>
    </row>
    <row r="97" spans="1:11" x14ac:dyDescent="0.2">
      <c r="A97" s="23"/>
      <c r="B97" s="28"/>
      <c r="C97" s="3" t="s">
        <v>213</v>
      </c>
      <c r="D97" s="39" t="s">
        <v>98</v>
      </c>
      <c r="E97" s="17"/>
      <c r="F97" s="17" t="s">
        <v>98</v>
      </c>
      <c r="G97" s="75">
        <f>SUM(G87:G90)</f>
        <v>16002.599999999999</v>
      </c>
      <c r="H97" s="95">
        <f t="shared" ref="H97:K97" si="20">SUM(H87:H90)</f>
        <v>4229.5049999999992</v>
      </c>
      <c r="I97" s="75">
        <f t="shared" si="20"/>
        <v>0</v>
      </c>
      <c r="J97" s="95">
        <f t="shared" si="20"/>
        <v>0</v>
      </c>
      <c r="K97" s="117">
        <f t="shared" si="20"/>
        <v>0</v>
      </c>
    </row>
    <row r="98" spans="1:11" x14ac:dyDescent="0.2">
      <c r="A98" s="23"/>
      <c r="B98" s="28"/>
      <c r="C98" s="11" t="s">
        <v>212</v>
      </c>
      <c r="D98" s="44" t="s">
        <v>98</v>
      </c>
      <c r="E98" s="18"/>
      <c r="F98" s="18" t="s">
        <v>98</v>
      </c>
      <c r="G98" s="76">
        <f>SUM(G91:G94)</f>
        <v>0</v>
      </c>
      <c r="H98" s="96">
        <f t="shared" ref="H98:K98" si="21">SUM(H91:H94)</f>
        <v>10178.216999999997</v>
      </c>
      <c r="I98" s="76">
        <f t="shared" si="21"/>
        <v>0</v>
      </c>
      <c r="J98" s="96">
        <f t="shared" si="21"/>
        <v>0</v>
      </c>
      <c r="K98" s="175">
        <f t="shared" si="21"/>
        <v>0</v>
      </c>
    </row>
    <row r="99" spans="1:11" s="50" customFormat="1" ht="13.5" thickBot="1" x14ac:dyDescent="0.25">
      <c r="A99" s="150"/>
      <c r="B99" s="49"/>
      <c r="C99" s="52" t="s">
        <v>48</v>
      </c>
      <c r="D99" s="53" t="s">
        <v>98</v>
      </c>
      <c r="E99" s="54"/>
      <c r="F99" s="54" t="s">
        <v>98</v>
      </c>
      <c r="G99" s="55">
        <f>SUM(G95:G98)</f>
        <v>70800.899999999994</v>
      </c>
      <c r="H99" s="55">
        <f>SUM(H95:H98)</f>
        <v>14407.721999999996</v>
      </c>
      <c r="I99" s="55">
        <f>SUM(I95:I98)</f>
        <v>0</v>
      </c>
      <c r="J99" s="55">
        <f>SUM(J95:J98)</f>
        <v>0</v>
      </c>
      <c r="K99" s="56">
        <f>SUM(K95:K98)</f>
        <v>0</v>
      </c>
    </row>
    <row r="100" spans="1:11" x14ac:dyDescent="0.2">
      <c r="B100" s="20" t="s">
        <v>322</v>
      </c>
      <c r="C100" s="21" t="s">
        <v>42</v>
      </c>
      <c r="D100" s="38" t="s">
        <v>304</v>
      </c>
      <c r="E100" s="22"/>
      <c r="F100" s="22" t="s">
        <v>29</v>
      </c>
      <c r="G100" s="77">
        <v>0</v>
      </c>
      <c r="H100" s="97">
        <v>0</v>
      </c>
      <c r="I100" s="77">
        <v>0</v>
      </c>
      <c r="J100" s="97">
        <v>0</v>
      </c>
      <c r="K100" s="124">
        <v>0</v>
      </c>
    </row>
    <row r="101" spans="1:11" x14ac:dyDescent="0.2">
      <c r="B101" s="23"/>
      <c r="C101" s="3" t="s">
        <v>44</v>
      </c>
      <c r="D101" s="39" t="s">
        <v>303</v>
      </c>
      <c r="E101" s="17"/>
      <c r="F101" s="17" t="s">
        <v>29</v>
      </c>
      <c r="G101" s="78">
        <f>(G41*(G17+G18))+(G42*G16)+(G43*(G17+G18))+(G44*G16)+(G45*G17)+(G46*G16)</f>
        <v>0</v>
      </c>
      <c r="H101" s="98">
        <f ca="1">(H41*(H17+H18))+(H42*H16)+(H43*(H17+H18))+(H44*H16)+(H45*H17)+(H46*H16)</f>
        <v>0</v>
      </c>
      <c r="I101" s="78">
        <f ca="1">(I41*(I17+I18))+(I42*I16)+(I43*(I17+I18))+(I44*I16)+(I45*I17)+(I46*I16)</f>
        <v>0</v>
      </c>
      <c r="J101" s="98">
        <f ca="1">(J41*(J17+J18))+(J42*J16)+(J43*(J17+J18))+(J44*J16)+(J45*J17)+(J46*J16)</f>
        <v>0</v>
      </c>
      <c r="K101" s="118">
        <f ca="1">(K41*(K17+K18))+(K42*K16)+(K43*(K17+K18))+(K44*K16)+(K45*K17)+(K46*K16)</f>
        <v>0</v>
      </c>
    </row>
    <row r="102" spans="1:11" x14ac:dyDescent="0.2">
      <c r="B102" s="23"/>
      <c r="C102" s="14" t="s">
        <v>45</v>
      </c>
      <c r="D102" s="149" t="s">
        <v>304</v>
      </c>
      <c r="E102" s="25"/>
      <c r="F102" s="25" t="s">
        <v>29</v>
      </c>
      <c r="G102" s="78">
        <v>0</v>
      </c>
      <c r="H102" s="98">
        <v>0</v>
      </c>
      <c r="I102" s="78">
        <v>0</v>
      </c>
      <c r="J102" s="98">
        <v>0</v>
      </c>
      <c r="K102" s="118">
        <v>0</v>
      </c>
    </row>
    <row r="103" spans="1:11" x14ac:dyDescent="0.2">
      <c r="B103" s="23"/>
      <c r="C103" s="14" t="s">
        <v>46</v>
      </c>
      <c r="D103" s="149" t="s">
        <v>304</v>
      </c>
      <c r="E103" s="25"/>
      <c r="F103" s="25" t="s">
        <v>29</v>
      </c>
      <c r="G103" s="78">
        <v>0</v>
      </c>
      <c r="H103" s="98">
        <v>0</v>
      </c>
      <c r="I103" s="78">
        <v>0</v>
      </c>
      <c r="J103" s="98">
        <v>0</v>
      </c>
      <c r="K103" s="118">
        <v>0</v>
      </c>
    </row>
    <row r="104" spans="1:11" x14ac:dyDescent="0.2">
      <c r="B104" s="23"/>
      <c r="C104" s="151" t="s">
        <v>47</v>
      </c>
      <c r="D104" s="148" t="s">
        <v>304</v>
      </c>
      <c r="E104" s="152"/>
      <c r="F104" s="25" t="s">
        <v>29</v>
      </c>
      <c r="G104" s="79">
        <v>0</v>
      </c>
      <c r="H104" s="100">
        <v>0</v>
      </c>
      <c r="I104" s="79">
        <v>0</v>
      </c>
      <c r="J104" s="100">
        <v>0</v>
      </c>
      <c r="K104" s="119">
        <v>0</v>
      </c>
    </row>
    <row r="105" spans="1:11" s="50" customFormat="1" ht="13.5" thickBot="1" x14ac:dyDescent="0.25">
      <c r="B105" s="51"/>
      <c r="C105" s="52" t="s">
        <v>48</v>
      </c>
      <c r="D105" s="57" t="s">
        <v>98</v>
      </c>
      <c r="E105" s="54"/>
      <c r="F105" s="54" t="s">
        <v>98</v>
      </c>
      <c r="G105" s="61">
        <f>SUM(G100:G104)</f>
        <v>0</v>
      </c>
      <c r="H105" s="61">
        <f ca="1">SUM(H100:H104)</f>
        <v>0</v>
      </c>
      <c r="I105" s="61">
        <f ca="1">SUM(I100:I104)</f>
        <v>0</v>
      </c>
      <c r="J105" s="61">
        <f ca="1">SUM(J100:J104)</f>
        <v>0</v>
      </c>
      <c r="K105" s="62">
        <f ca="1">SUM(K100:K104)</f>
        <v>0</v>
      </c>
    </row>
    <row r="106" spans="1:11" x14ac:dyDescent="0.2">
      <c r="B106" s="20" t="s">
        <v>323</v>
      </c>
      <c r="C106" s="35" t="s">
        <v>50</v>
      </c>
      <c r="D106" s="42" t="s">
        <v>96</v>
      </c>
      <c r="E106" s="22"/>
      <c r="F106" s="22" t="s">
        <v>29</v>
      </c>
      <c r="G106" s="80">
        <v>0</v>
      </c>
      <c r="H106" s="99">
        <v>0</v>
      </c>
      <c r="I106" s="80">
        <v>0</v>
      </c>
      <c r="J106" s="99">
        <v>0</v>
      </c>
      <c r="K106" s="125">
        <v>0</v>
      </c>
    </row>
    <row r="107" spans="1:11" x14ac:dyDescent="0.2">
      <c r="B107" s="23"/>
      <c r="C107" s="14" t="s">
        <v>76</v>
      </c>
      <c r="D107" s="39" t="s">
        <v>96</v>
      </c>
      <c r="E107" s="17"/>
      <c r="F107" s="17" t="s">
        <v>29</v>
      </c>
      <c r="G107" s="78">
        <v>0</v>
      </c>
      <c r="H107" s="98">
        <v>0</v>
      </c>
      <c r="I107" s="78">
        <v>0</v>
      </c>
      <c r="J107" s="98">
        <v>0</v>
      </c>
      <c r="K107" s="118">
        <v>0</v>
      </c>
    </row>
    <row r="108" spans="1:11" x14ac:dyDescent="0.2">
      <c r="B108" s="23"/>
      <c r="C108" s="14" t="s">
        <v>51</v>
      </c>
      <c r="D108" s="39" t="s">
        <v>96</v>
      </c>
      <c r="E108" s="17"/>
      <c r="F108" s="17" t="s">
        <v>29</v>
      </c>
      <c r="G108" s="78">
        <v>0</v>
      </c>
      <c r="H108" s="98">
        <v>0</v>
      </c>
      <c r="I108" s="78">
        <v>0</v>
      </c>
      <c r="J108" s="98">
        <v>0</v>
      </c>
      <c r="K108" s="118">
        <v>0</v>
      </c>
    </row>
    <row r="109" spans="1:11" x14ac:dyDescent="0.2">
      <c r="B109" s="23"/>
      <c r="C109" s="14" t="s">
        <v>52</v>
      </c>
      <c r="D109" s="39" t="s">
        <v>96</v>
      </c>
      <c r="E109" s="17"/>
      <c r="F109" s="17" t="s">
        <v>29</v>
      </c>
      <c r="G109" s="78">
        <v>0</v>
      </c>
      <c r="H109" s="98">
        <v>0</v>
      </c>
      <c r="I109" s="78">
        <v>0</v>
      </c>
      <c r="J109" s="98">
        <v>0</v>
      </c>
      <c r="K109" s="118">
        <v>0</v>
      </c>
    </row>
    <row r="110" spans="1:11" s="50" customFormat="1" ht="13.5" thickBot="1" x14ac:dyDescent="0.25">
      <c r="B110" s="51"/>
      <c r="C110" s="52" t="s">
        <v>48</v>
      </c>
      <c r="D110" s="53" t="s">
        <v>98</v>
      </c>
      <c r="E110" s="54"/>
      <c r="F110" s="54" t="s">
        <v>98</v>
      </c>
      <c r="G110" s="61">
        <f>SUM(G106:G109)</f>
        <v>0</v>
      </c>
      <c r="H110" s="61">
        <f>SUM(H106:H109)</f>
        <v>0</v>
      </c>
      <c r="I110" s="61">
        <f>SUM(I106:I109)</f>
        <v>0</v>
      </c>
      <c r="J110" s="61">
        <f>SUM(J106:J109)</f>
        <v>0</v>
      </c>
      <c r="K110" s="62">
        <f>SUM(K106:K109)</f>
        <v>0</v>
      </c>
    </row>
    <row r="112" spans="1:11" ht="13.5" thickBot="1" x14ac:dyDescent="0.25"/>
    <row r="113" spans="3:17" s="50" customFormat="1" x14ac:dyDescent="0.2">
      <c r="C113" s="126" t="s">
        <v>120</v>
      </c>
      <c r="D113" s="127"/>
      <c r="E113" s="128"/>
      <c r="F113" s="129"/>
      <c r="G113" s="134">
        <f>SUM(G99+G105+G110)</f>
        <v>70800.899999999994</v>
      </c>
      <c r="H113" s="134">
        <f ca="1">SUM(H99+H105+H110)</f>
        <v>14407.721999999996</v>
      </c>
      <c r="I113" s="134">
        <f ca="1">SUM(I99+I105+I110)</f>
        <v>0</v>
      </c>
      <c r="J113" s="134">
        <f ca="1">SUM(J99+J105+J110)</f>
        <v>0</v>
      </c>
      <c r="K113" s="135">
        <f ca="1">SUM(K99+K105+K110)</f>
        <v>0</v>
      </c>
      <c r="M113" s="1"/>
      <c r="N113" s="1"/>
      <c r="O113" s="1"/>
      <c r="P113" s="1"/>
      <c r="Q113" s="1"/>
    </row>
    <row r="114" spans="3:17" ht="13.5" thickBot="1" x14ac:dyDescent="0.25">
      <c r="C114" s="130" t="s">
        <v>121</v>
      </c>
      <c r="D114" s="131"/>
      <c r="E114" s="132"/>
      <c r="F114" s="133"/>
      <c r="G114" s="136">
        <f>G113</f>
        <v>70800.899999999994</v>
      </c>
      <c r="H114" s="136">
        <f ca="1">G114+H113</f>
        <v>85208.621999999988</v>
      </c>
      <c r="I114" s="136">
        <f ca="1">H114+I113</f>
        <v>85208.621999999988</v>
      </c>
      <c r="J114" s="136">
        <f ca="1">I114+J113</f>
        <v>85208.621999999988</v>
      </c>
      <c r="K114" s="137">
        <f ca="1">J114+K113</f>
        <v>85208.621999999988</v>
      </c>
    </row>
    <row r="115" spans="3:17" x14ac:dyDescent="0.2">
      <c r="C115" s="32" t="s">
        <v>110</v>
      </c>
      <c r="D115" s="40"/>
      <c r="E115" s="19"/>
      <c r="F115" s="19"/>
      <c r="G115" s="82">
        <f t="shared" ref="G115:K121" si="22">SUMIF($D$3:$D$110,$C115,G$3:G$110)</f>
        <v>9546</v>
      </c>
      <c r="H115" s="102">
        <f t="shared" si="22"/>
        <v>2027.97</v>
      </c>
      <c r="I115" s="82">
        <f t="shared" si="22"/>
        <v>0</v>
      </c>
      <c r="J115" s="102">
        <f t="shared" si="22"/>
        <v>0</v>
      </c>
      <c r="K115" s="121">
        <f t="shared" si="22"/>
        <v>0</v>
      </c>
    </row>
    <row r="116" spans="3:17" x14ac:dyDescent="0.2">
      <c r="C116" s="59" t="s">
        <v>111</v>
      </c>
      <c r="D116" s="39"/>
      <c r="E116" s="17"/>
      <c r="F116" s="17"/>
      <c r="G116" s="82">
        <f t="shared" si="22"/>
        <v>37740</v>
      </c>
      <c r="H116" s="102">
        <f t="shared" si="22"/>
        <v>4596.7319999999991</v>
      </c>
      <c r="I116" s="82">
        <f t="shared" si="22"/>
        <v>0</v>
      </c>
      <c r="J116" s="102">
        <f t="shared" si="22"/>
        <v>0</v>
      </c>
      <c r="K116" s="121">
        <f t="shared" si="22"/>
        <v>0</v>
      </c>
    </row>
    <row r="117" spans="3:17" x14ac:dyDescent="0.2">
      <c r="C117" s="59" t="s">
        <v>112</v>
      </c>
      <c r="D117" s="39"/>
      <c r="E117" s="17"/>
      <c r="F117" s="17"/>
      <c r="G117" s="82">
        <f t="shared" si="22"/>
        <v>13702.5</v>
      </c>
      <c r="H117" s="102">
        <f t="shared" si="22"/>
        <v>5755.0499999999993</v>
      </c>
      <c r="I117" s="82">
        <f t="shared" si="22"/>
        <v>0</v>
      </c>
      <c r="J117" s="102">
        <f t="shared" si="22"/>
        <v>0</v>
      </c>
      <c r="K117" s="121">
        <f t="shared" si="22"/>
        <v>0</v>
      </c>
    </row>
    <row r="118" spans="3:17" x14ac:dyDescent="0.2">
      <c r="C118" s="59" t="s">
        <v>113</v>
      </c>
      <c r="D118" s="39"/>
      <c r="E118" s="17"/>
      <c r="F118" s="17"/>
      <c r="G118" s="82">
        <f t="shared" si="22"/>
        <v>9812.4</v>
      </c>
      <c r="H118" s="102">
        <f t="shared" si="22"/>
        <v>2027.97</v>
      </c>
      <c r="I118" s="82">
        <f t="shared" si="22"/>
        <v>0</v>
      </c>
      <c r="J118" s="102">
        <f t="shared" si="22"/>
        <v>0</v>
      </c>
      <c r="K118" s="121">
        <f t="shared" si="22"/>
        <v>0</v>
      </c>
    </row>
    <row r="119" spans="3:17" x14ac:dyDescent="0.2">
      <c r="C119" s="59" t="s">
        <v>49</v>
      </c>
      <c r="D119" s="39"/>
      <c r="E119" s="17"/>
      <c r="F119" s="17"/>
      <c r="G119" s="82">
        <f t="shared" si="22"/>
        <v>0</v>
      </c>
      <c r="H119" s="102">
        <f t="shared" si="22"/>
        <v>0</v>
      </c>
      <c r="I119" s="82">
        <f t="shared" si="22"/>
        <v>0</v>
      </c>
      <c r="J119" s="102">
        <f t="shared" si="22"/>
        <v>0</v>
      </c>
      <c r="K119" s="121">
        <f t="shared" si="22"/>
        <v>0</v>
      </c>
    </row>
    <row r="120" spans="3:17" x14ac:dyDescent="0.2">
      <c r="C120" s="59" t="s">
        <v>303</v>
      </c>
      <c r="D120" s="39"/>
      <c r="E120" s="17"/>
      <c r="F120" s="17"/>
      <c r="G120" s="82">
        <f t="shared" si="22"/>
        <v>0</v>
      </c>
      <c r="H120" s="102">
        <f t="shared" ca="1" si="22"/>
        <v>0</v>
      </c>
      <c r="I120" s="82">
        <f t="shared" ca="1" si="22"/>
        <v>0</v>
      </c>
      <c r="J120" s="102">
        <f t="shared" ca="1" si="22"/>
        <v>0</v>
      </c>
      <c r="K120" s="121">
        <f t="shared" ca="1" si="22"/>
        <v>0</v>
      </c>
    </row>
    <row r="121" spans="3:17" x14ac:dyDescent="0.2">
      <c r="C121" s="59" t="s">
        <v>304</v>
      </c>
      <c r="D121" s="39"/>
      <c r="E121" s="17"/>
      <c r="F121" s="17"/>
      <c r="G121" s="82">
        <f t="shared" si="22"/>
        <v>0</v>
      </c>
      <c r="H121" s="102">
        <f t="shared" si="22"/>
        <v>0</v>
      </c>
      <c r="I121" s="82">
        <f t="shared" si="22"/>
        <v>0</v>
      </c>
      <c r="J121" s="102">
        <f t="shared" si="22"/>
        <v>0</v>
      </c>
      <c r="K121" s="121">
        <f t="shared" si="22"/>
        <v>0</v>
      </c>
    </row>
    <row r="122" spans="3:17" s="50" customFormat="1" x14ac:dyDescent="0.2">
      <c r="C122" s="159" t="s">
        <v>53</v>
      </c>
      <c r="D122" s="160"/>
      <c r="E122" s="161"/>
      <c r="F122" s="161"/>
      <c r="G122" s="162">
        <f>SUM(G115:G121)</f>
        <v>70800.899999999994</v>
      </c>
      <c r="H122" s="163">
        <f t="shared" ref="H122:K122" ca="1" si="23">SUM(H115:H121)</f>
        <v>14407.721999999998</v>
      </c>
      <c r="I122" s="162">
        <f t="shared" ca="1" si="23"/>
        <v>0</v>
      </c>
      <c r="J122" s="163">
        <f t="shared" ca="1" si="23"/>
        <v>0</v>
      </c>
      <c r="K122" s="164">
        <f t="shared" ca="1" si="23"/>
        <v>0</v>
      </c>
    </row>
    <row r="123" spans="3:17" ht="13.5" thickBot="1" x14ac:dyDescent="0.25">
      <c r="C123" s="33" t="s">
        <v>96</v>
      </c>
      <c r="D123" s="41"/>
      <c r="E123" s="31"/>
      <c r="F123" s="31"/>
      <c r="G123" s="81">
        <f>SUMIF($D$3:$D$110,$C123,G$3:G$110)</f>
        <v>0</v>
      </c>
      <c r="H123" s="101">
        <f>SUMIF($D$3:$D$110,$C123,H$3:H$110)</f>
        <v>0</v>
      </c>
      <c r="I123" s="81">
        <f>SUMIF($D$3:$D$110,$C123,I$3:I$110)</f>
        <v>0</v>
      </c>
      <c r="J123" s="101">
        <f>SUMIF($D$3:$D$110,$C123,J$3:J$110)</f>
        <v>0</v>
      </c>
      <c r="K123" s="120">
        <f>SUMIF($D$3:$D$110,$C123,K$3:K$110)</f>
        <v>0</v>
      </c>
    </row>
    <row r="125" spans="3:17" ht="13.5" thickBot="1" x14ac:dyDescent="0.25"/>
    <row r="126" spans="3:17" x14ac:dyDescent="0.2">
      <c r="C126" s="58" t="s">
        <v>114</v>
      </c>
      <c r="D126" s="42"/>
      <c r="E126" s="22"/>
      <c r="F126" s="22"/>
      <c r="G126" s="63"/>
      <c r="H126" s="63"/>
      <c r="I126" s="63"/>
      <c r="J126" s="63"/>
      <c r="K126" s="64"/>
    </row>
    <row r="127" spans="3:17" x14ac:dyDescent="0.2">
      <c r="C127" s="59" t="s">
        <v>54</v>
      </c>
      <c r="D127" s="39"/>
      <c r="E127" s="17"/>
      <c r="F127" s="17"/>
      <c r="G127" s="83">
        <f>G$113/((1+0.03)^G$2)</f>
        <v>68738.737864077659</v>
      </c>
      <c r="H127" s="103">
        <f ca="1">H$113/((1+0.03)^H$2)</f>
        <v>13580.659817136391</v>
      </c>
      <c r="I127" s="83">
        <f ca="1">I$113/((1+0.03)^I$2)</f>
        <v>0</v>
      </c>
      <c r="J127" s="103">
        <f ca="1">J$113/((1+0.03)^J$2)</f>
        <v>0</v>
      </c>
      <c r="K127" s="122">
        <f ca="1">K$113/((1+0.03)^K$2)</f>
        <v>0</v>
      </c>
    </row>
    <row r="128" spans="3:17" x14ac:dyDescent="0.2">
      <c r="C128" s="59" t="s">
        <v>55</v>
      </c>
      <c r="D128" s="39"/>
      <c r="E128" s="17"/>
      <c r="F128" s="17"/>
      <c r="G128" s="83">
        <f>G$113/((1+0.05)^G$2)</f>
        <v>67429.428571428565</v>
      </c>
      <c r="H128" s="103">
        <f ca="1">H$113/((1+0.05)^H$2)</f>
        <v>13068.228571428568</v>
      </c>
      <c r="I128" s="83">
        <f ca="1">I$113/((1+0.05)^I$2)</f>
        <v>0</v>
      </c>
      <c r="J128" s="103">
        <f ca="1">J$113/((1+0.05)^J$2)</f>
        <v>0</v>
      </c>
      <c r="K128" s="122">
        <f ca="1">K$113/((1+0.05)^K$2)</f>
        <v>0</v>
      </c>
    </row>
    <row r="129" spans="3:11" x14ac:dyDescent="0.2">
      <c r="C129" s="59" t="s">
        <v>56</v>
      </c>
      <c r="D129" s="39"/>
      <c r="E129" s="17"/>
      <c r="F129" s="17"/>
      <c r="G129" s="83">
        <f>G$113/((1+0.08)^G$2)</f>
        <v>65556.388888888876</v>
      </c>
      <c r="H129" s="103">
        <f ca="1">H$113/((1+0.08)^H$2)</f>
        <v>12352.299382716044</v>
      </c>
      <c r="I129" s="83">
        <f ca="1">I$113/((1+0.08)^I$2)</f>
        <v>0</v>
      </c>
      <c r="J129" s="103">
        <f ca="1">J$113/((1+0.08)^J$2)</f>
        <v>0</v>
      </c>
      <c r="K129" s="122">
        <f ca="1">K$113/((1+0.08)^K$2)</f>
        <v>0</v>
      </c>
    </row>
    <row r="130" spans="3:11" x14ac:dyDescent="0.2">
      <c r="C130" s="59" t="s">
        <v>57</v>
      </c>
      <c r="D130" s="39"/>
      <c r="E130" s="17"/>
      <c r="F130" s="17"/>
      <c r="G130" s="83">
        <f>G$113/((1+0.1)^G$2)</f>
        <v>64364.454545454537</v>
      </c>
      <c r="H130" s="103">
        <f ca="1">H$113/((1+0.1)^H$2)</f>
        <v>11907.208264462804</v>
      </c>
      <c r="I130" s="83">
        <f ca="1">I$113/((1+0.1)^I$2)</f>
        <v>0</v>
      </c>
      <c r="J130" s="103">
        <f ca="1">J$113/((1+0.1)^J$2)</f>
        <v>0</v>
      </c>
      <c r="K130" s="122">
        <f ca="1">K$113/((1+0.1)^K$2)</f>
        <v>0</v>
      </c>
    </row>
    <row r="131" spans="3:11" ht="13.5" thickBot="1" x14ac:dyDescent="0.25">
      <c r="C131" s="33" t="s">
        <v>58</v>
      </c>
      <c r="D131" s="41"/>
      <c r="E131" s="31"/>
      <c r="F131" s="31"/>
      <c r="G131" s="84">
        <f>G$113/((1+0.12)^G$2)</f>
        <v>63215.089285714275</v>
      </c>
      <c r="H131" s="104">
        <f ca="1">H$113/((1+0.12)^H$2)</f>
        <v>11485.747767857138</v>
      </c>
      <c r="I131" s="84">
        <f ca="1">I$113/((1+0.12)^I$2)</f>
        <v>0</v>
      </c>
      <c r="J131" s="104">
        <f ca="1">J$113/((1+0.12)^J$2)</f>
        <v>0</v>
      </c>
      <c r="K131" s="123">
        <f ca="1">K$113/((1+0.12)^K$2)</f>
        <v>0</v>
      </c>
    </row>
  </sheetData>
  <pageMargins left="0.7" right="0.7" top="0.75" bottom="0.75" header="0.3" footer="0.3"/>
  <pageSetup scale="46" fitToHeight="0" orientation="landscape" r:id="rId1"/>
  <ignoredErrors>
    <ignoredError sqref="G84 G92:K92 H84:K84 G45:K45 H41:K41 G122:K122 G43" formula="1"/>
    <ignoredError sqref="G31" evalError="1"/>
    <ignoredError sqref="G41:G42" formula="1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F3:F110</xm:sqref>
        </x14:dataValidation>
        <x14:dataValidation type="list" allowBlank="1" showInputMessage="1" showErrorMessage="1">
          <x14:formula1>
            <xm:f>'Validation Lists'!$A$2:$A$12</xm:f>
          </x14:formula1>
          <xm:sqref>D3:D110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48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8.710937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6384" width="9.140625" style="1"/>
  </cols>
  <sheetData>
    <row r="1" spans="1:11" x14ac:dyDescent="0.2">
      <c r="A1" s="263" t="s">
        <v>457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SUM(G47*G68,G52*G73,G59*G80,G66*G87,G57*G78,G64*G85)/52</f>
        <v>0.23317307692307693</v>
      </c>
      <c r="H21" s="93">
        <f t="shared" ref="H21:K21" si="2">SUM(H47*H68,H52*H73,H59*H80,H66*H87,H57*H78,H64*H85)/52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f>SUM(G49*G70,G54*G75,G61*G82)/52</f>
        <v>0.12259615384615384</v>
      </c>
      <c r="H23" s="93">
        <f t="shared" ref="H23:K23" si="3">SUM(H49*H70,H54*H75,H61*H82)/52</f>
        <v>0</v>
      </c>
      <c r="I23" s="73">
        <f t="shared" si="3"/>
        <v>0</v>
      </c>
      <c r="J23" s="93">
        <f t="shared" si="3"/>
        <v>0</v>
      </c>
      <c r="K23" s="115">
        <f t="shared" si="3"/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SUM(G48*G69,G53*G74,G60*G81)/52</f>
        <v>3.4615384615384617E-2</v>
      </c>
      <c r="H24" s="93">
        <f t="shared" ref="H24:K24" si="4">SUM(H48*H69,H53*H74,H60*H81)/52</f>
        <v>0</v>
      </c>
      <c r="I24" s="73">
        <f t="shared" si="4"/>
        <v>0</v>
      </c>
      <c r="J24" s="93">
        <f t="shared" si="4"/>
        <v>0</v>
      </c>
      <c r="K24" s="115">
        <f t="shared" si="4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f>SUM(G50*G71,G55*G76,G62*G83)/52</f>
        <v>7.2115384615384609E-2</v>
      </c>
      <c r="H25" s="93">
        <f t="shared" ref="H25:K25" si="5">SUM(H50*H71,H55*H76,H62*H83)/52</f>
        <v>0</v>
      </c>
      <c r="I25" s="73">
        <f t="shared" si="5"/>
        <v>0</v>
      </c>
      <c r="J25" s="93">
        <f t="shared" si="5"/>
        <v>0</v>
      </c>
      <c r="K25" s="115">
        <f t="shared" si="5"/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SUM(G51*G72,G56*G77,G58*G79,G63*G84,G65*G86,G67*G88)/52</f>
        <v>0.14903846153846154</v>
      </c>
      <c r="H28" s="93">
        <f t="shared" ref="H28:K28" si="6">SUM(H51*H72,H56*H77,H58*H79,H63*H84,H65*H86,H67*H88)/52</f>
        <v>0</v>
      </c>
      <c r="I28" s="73">
        <f t="shared" si="6"/>
        <v>0</v>
      </c>
      <c r="J28" s="93">
        <f t="shared" si="6"/>
        <v>0</v>
      </c>
      <c r="K28" s="115">
        <f t="shared" si="6"/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7">ROUND(H19,0)+ROUND(H20,0)+ROUND(H21,0)+ROUND(H22,0)+ROUND(H23,0)+ROUND(H24,0)+ROUND(H25,0)+ROUND(H26,0)+ROUND(H27,0)+ROUND(H28,0)+ROUND(H29,0)+ROUND(H30,0)</f>
        <v>0</v>
      </c>
      <c r="I31" s="71">
        <f t="shared" si="7"/>
        <v>0</v>
      </c>
      <c r="J31" s="92">
        <f t="shared" si="7"/>
        <v>0</v>
      </c>
      <c r="K31" s="114">
        <f t="shared" si="7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G47+G52+G59+G66+G57+G64</f>
        <v>3.6875</v>
      </c>
      <c r="H32" s="90">
        <f t="shared" ref="H32:K32" si="8">H47+H52+H59+H66+H57+H64</f>
        <v>0</v>
      </c>
      <c r="I32" s="69">
        <f t="shared" si="8"/>
        <v>0</v>
      </c>
      <c r="J32" s="90">
        <f t="shared" si="8"/>
        <v>0</v>
      </c>
      <c r="K32" s="112">
        <f t="shared" si="8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f>G49+G54+G61</f>
        <v>1.7</v>
      </c>
      <c r="H33" s="93">
        <f t="shared" ref="H33:J33" si="9">H49+H54+H61</f>
        <v>0</v>
      </c>
      <c r="I33" s="73">
        <f t="shared" si="9"/>
        <v>0</v>
      </c>
      <c r="J33" s="93">
        <f t="shared" si="9"/>
        <v>0</v>
      </c>
      <c r="K33" s="115">
        <f>K49+K56+K60+K67</f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G48+G53+G60</f>
        <v>0.55000000000000004</v>
      </c>
      <c r="H34" s="93">
        <f t="shared" ref="H34:K34" si="10">H48+H53+H60</f>
        <v>0</v>
      </c>
      <c r="I34" s="73">
        <f t="shared" si="10"/>
        <v>0</v>
      </c>
      <c r="J34" s="93">
        <f t="shared" si="10"/>
        <v>0</v>
      </c>
      <c r="K34" s="115">
        <f t="shared" si="10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f>G50+G55+G62</f>
        <v>1</v>
      </c>
      <c r="H35" s="93">
        <f t="shared" ref="H35:K35" si="11">H50+H55+H62</f>
        <v>0</v>
      </c>
      <c r="I35" s="73">
        <f t="shared" si="11"/>
        <v>0</v>
      </c>
      <c r="J35" s="93">
        <f t="shared" si="11"/>
        <v>0</v>
      </c>
      <c r="K35" s="115">
        <f t="shared" si="11"/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7</v>
      </c>
      <c r="H38" s="93">
        <f t="shared" ref="H38:K38" si="12">ROUNDUP(H32+H33+H34+H35+H36-H37,0)</f>
        <v>0</v>
      </c>
      <c r="I38" s="73">
        <f t="shared" si="12"/>
        <v>0</v>
      </c>
      <c r="J38" s="93">
        <f t="shared" si="12"/>
        <v>0</v>
      </c>
      <c r="K38" s="115">
        <f t="shared" si="12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3">H39</f>
        <v>0</v>
      </c>
      <c r="I40" s="73">
        <f t="shared" si="13"/>
        <v>0</v>
      </c>
      <c r="J40" s="93">
        <f t="shared" si="13"/>
        <v>0</v>
      </c>
      <c r="K40" s="115">
        <f t="shared" si="13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 t="shared" ref="H43:K43" si="14">ROUND(H21,0)+ROUND(H22,0)+ROUND(H23,0)+ROUND(H24,0)+ROUND(H25,0)+ROUND(H26,0)-ROUND(H36,0)+ROUND(H19,0)+ROUND(H20,0)</f>
        <v>0</v>
      </c>
      <c r="I43" s="73">
        <f t="shared" si="14"/>
        <v>0</v>
      </c>
      <c r="J43" s="93">
        <f t="shared" si="14"/>
        <v>0</v>
      </c>
      <c r="K43" s="115">
        <f t="shared" si="14"/>
        <v>0</v>
      </c>
    </row>
    <row r="44" spans="1:11" x14ac:dyDescent="0.2">
      <c r="A44" s="167"/>
      <c r="B44" s="168"/>
      <c r="C44" s="3" t="s">
        <v>409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0</v>
      </c>
      <c r="I44" s="73">
        <f t="shared" ref="I44:K44" si="15">I43</f>
        <v>0</v>
      </c>
      <c r="J44" s="93">
        <f t="shared" si="15"/>
        <v>0</v>
      </c>
      <c r="K44" s="115">
        <f t="shared" si="15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317</v>
      </c>
      <c r="B47" s="168" t="s">
        <v>318</v>
      </c>
      <c r="C47" s="13" t="s">
        <v>214</v>
      </c>
      <c r="D47" s="40" t="s">
        <v>98</v>
      </c>
      <c r="E47" s="19"/>
      <c r="F47" s="19" t="s">
        <v>98</v>
      </c>
      <c r="G47" s="70">
        <v>1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3" t="s">
        <v>215</v>
      </c>
      <c r="D48" s="39" t="s">
        <v>98</v>
      </c>
      <c r="E48" s="17"/>
      <c r="F48" s="17" t="s">
        <v>98</v>
      </c>
      <c r="G48" s="73">
        <v>0.25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13" t="s">
        <v>216</v>
      </c>
      <c r="D49" s="39" t="s">
        <v>98</v>
      </c>
      <c r="E49" s="17"/>
      <c r="F49" s="17" t="s">
        <v>98</v>
      </c>
      <c r="G49" s="73">
        <v>0.85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3" t="s">
        <v>217</v>
      </c>
      <c r="D50" s="39" t="s">
        <v>98</v>
      </c>
      <c r="E50" s="17"/>
      <c r="F50" s="17" t="s">
        <v>98</v>
      </c>
      <c r="G50" s="73">
        <v>0.5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227" t="s">
        <v>218</v>
      </c>
      <c r="D51" s="39" t="s">
        <v>98</v>
      </c>
      <c r="E51" s="17"/>
      <c r="F51" s="17" t="s">
        <v>98</v>
      </c>
      <c r="G51" s="73">
        <v>0.5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3" t="s">
        <v>219</v>
      </c>
      <c r="D52" s="39" t="s">
        <v>98</v>
      </c>
      <c r="E52" s="17"/>
      <c r="F52" s="17" t="s">
        <v>98</v>
      </c>
      <c r="G52" s="73">
        <v>0.625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3" t="s">
        <v>220</v>
      </c>
      <c r="D53" s="39" t="s">
        <v>98</v>
      </c>
      <c r="E53" s="17"/>
      <c r="F53" s="17" t="s">
        <v>98</v>
      </c>
      <c r="G53" s="73">
        <v>0.25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3" t="s">
        <v>221</v>
      </c>
      <c r="D54" s="39" t="s">
        <v>98</v>
      </c>
      <c r="E54" s="17"/>
      <c r="F54" s="17" t="s">
        <v>98</v>
      </c>
      <c r="G54" s="73">
        <v>0.42499999999999999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3" t="s">
        <v>222</v>
      </c>
      <c r="D55" s="39" t="s">
        <v>98</v>
      </c>
      <c r="E55" s="17"/>
      <c r="F55" s="17" t="s">
        <v>98</v>
      </c>
      <c r="G55" s="73">
        <v>0.25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14" t="s">
        <v>223</v>
      </c>
      <c r="D56" s="39" t="s">
        <v>98</v>
      </c>
      <c r="E56" s="17"/>
      <c r="F56" s="17" t="s">
        <v>98</v>
      </c>
      <c r="G56" s="73">
        <v>0.5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168"/>
      <c r="C57" s="14" t="s">
        <v>422</v>
      </c>
      <c r="D57" s="39" t="s">
        <v>98</v>
      </c>
      <c r="E57" s="17"/>
      <c r="F57" s="17"/>
      <c r="G57" s="73">
        <v>0.5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168"/>
      <c r="C58" s="14" t="s">
        <v>224</v>
      </c>
      <c r="D58" s="39" t="s">
        <v>98</v>
      </c>
      <c r="E58" s="17"/>
      <c r="F58" s="17" t="s">
        <v>98</v>
      </c>
      <c r="G58" s="73">
        <v>0.5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168"/>
      <c r="C59" s="3" t="s">
        <v>225</v>
      </c>
      <c r="D59" s="39" t="s">
        <v>98</v>
      </c>
      <c r="E59" s="17"/>
      <c r="F59" s="17" t="s">
        <v>98</v>
      </c>
      <c r="G59" s="73">
        <v>0.4375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168"/>
      <c r="C60" s="3" t="s">
        <v>226</v>
      </c>
      <c r="D60" s="39" t="s">
        <v>98</v>
      </c>
      <c r="E60" s="17"/>
      <c r="F60" s="17" t="s">
        <v>98</v>
      </c>
      <c r="G60" s="73">
        <v>0.05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168"/>
      <c r="C61" s="3" t="s">
        <v>227</v>
      </c>
      <c r="D61" s="39" t="s">
        <v>98</v>
      </c>
      <c r="E61" s="17"/>
      <c r="F61" s="17" t="s">
        <v>98</v>
      </c>
      <c r="G61" s="73">
        <v>0.42499999999999999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168"/>
      <c r="C62" s="3" t="s">
        <v>228</v>
      </c>
      <c r="D62" s="39" t="s">
        <v>98</v>
      </c>
      <c r="E62" s="17"/>
      <c r="F62" s="17" t="s">
        <v>98</v>
      </c>
      <c r="G62" s="73">
        <v>0.25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168"/>
      <c r="C63" s="14" t="s">
        <v>229</v>
      </c>
      <c r="D63" s="39" t="s">
        <v>98</v>
      </c>
      <c r="E63" s="17"/>
      <c r="F63" s="17" t="s">
        <v>98</v>
      </c>
      <c r="G63" s="73">
        <v>0.1875</v>
      </c>
      <c r="H63" s="93">
        <v>0</v>
      </c>
      <c r="I63" s="73">
        <v>0</v>
      </c>
      <c r="J63" s="93">
        <v>0</v>
      </c>
      <c r="K63" s="115">
        <v>0</v>
      </c>
    </row>
    <row r="64" spans="1:11" x14ac:dyDescent="0.2">
      <c r="A64" s="48"/>
      <c r="B64" s="168"/>
      <c r="C64" s="14" t="s">
        <v>423</v>
      </c>
      <c r="D64" s="39" t="s">
        <v>98</v>
      </c>
      <c r="E64" s="17"/>
      <c r="F64" s="17"/>
      <c r="G64" s="73">
        <v>0.375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168"/>
      <c r="C65" s="14" t="s">
        <v>230</v>
      </c>
      <c r="D65" s="39" t="s">
        <v>98</v>
      </c>
      <c r="E65" s="17"/>
      <c r="F65" s="17" t="s">
        <v>98</v>
      </c>
      <c r="G65" s="73">
        <v>0.375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168"/>
      <c r="C66" s="3" t="s">
        <v>231</v>
      </c>
      <c r="D66" s="39" t="s">
        <v>98</v>
      </c>
      <c r="E66" s="17"/>
      <c r="F66" s="17" t="s">
        <v>98</v>
      </c>
      <c r="G66" s="73">
        <v>0.75</v>
      </c>
      <c r="H66" s="93">
        <v>0</v>
      </c>
      <c r="I66" s="73">
        <v>0</v>
      </c>
      <c r="J66" s="93">
        <v>0</v>
      </c>
      <c r="K66" s="115">
        <v>0</v>
      </c>
    </row>
    <row r="67" spans="1:11" ht="13.5" thickBot="1" x14ac:dyDescent="0.25">
      <c r="A67" s="48"/>
      <c r="B67" s="49"/>
      <c r="C67" s="225" t="s">
        <v>232</v>
      </c>
      <c r="D67" s="43" t="s">
        <v>98</v>
      </c>
      <c r="E67" s="31"/>
      <c r="F67" s="31" t="s">
        <v>98</v>
      </c>
      <c r="G67" s="71">
        <v>0.25</v>
      </c>
      <c r="H67" s="92">
        <v>0</v>
      </c>
      <c r="I67" s="71">
        <v>0</v>
      </c>
      <c r="J67" s="92">
        <v>0</v>
      </c>
      <c r="K67" s="114">
        <v>0</v>
      </c>
    </row>
    <row r="68" spans="1:11" x14ac:dyDescent="0.2">
      <c r="A68" s="165" t="s">
        <v>320</v>
      </c>
      <c r="B68" s="48" t="s">
        <v>318</v>
      </c>
      <c r="C68" s="3" t="s">
        <v>214</v>
      </c>
      <c r="D68" s="42" t="s">
        <v>98</v>
      </c>
      <c r="E68" s="17"/>
      <c r="F68" s="17" t="s">
        <v>98</v>
      </c>
      <c r="G68" s="73">
        <v>3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167"/>
      <c r="B69" s="48"/>
      <c r="C69" s="3" t="s">
        <v>215</v>
      </c>
      <c r="D69" s="39" t="s">
        <v>98</v>
      </c>
      <c r="E69" s="17"/>
      <c r="F69" s="17" t="s">
        <v>98</v>
      </c>
      <c r="G69" s="73">
        <v>3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167"/>
      <c r="B70" s="48"/>
      <c r="C70" s="3" t="s">
        <v>216</v>
      </c>
      <c r="D70" s="39" t="s">
        <v>98</v>
      </c>
      <c r="E70" s="17"/>
      <c r="F70" s="17" t="s">
        <v>98</v>
      </c>
      <c r="G70" s="73">
        <v>3</v>
      </c>
      <c r="H70" s="93">
        <v>0</v>
      </c>
      <c r="I70" s="73">
        <v>0</v>
      </c>
      <c r="J70" s="93">
        <v>0</v>
      </c>
      <c r="K70" s="115">
        <v>0</v>
      </c>
    </row>
    <row r="71" spans="1:11" x14ac:dyDescent="0.2">
      <c r="A71" s="167"/>
      <c r="B71" s="48"/>
      <c r="C71" s="3" t="s">
        <v>217</v>
      </c>
      <c r="D71" s="39" t="s">
        <v>98</v>
      </c>
      <c r="E71" s="17"/>
      <c r="F71" s="17" t="s">
        <v>98</v>
      </c>
      <c r="G71" s="73">
        <v>3</v>
      </c>
      <c r="H71" s="93">
        <v>0</v>
      </c>
      <c r="I71" s="73">
        <v>0</v>
      </c>
      <c r="J71" s="93">
        <v>0</v>
      </c>
      <c r="K71" s="115">
        <v>0</v>
      </c>
    </row>
    <row r="72" spans="1:11" x14ac:dyDescent="0.2">
      <c r="A72" s="167"/>
      <c r="B72" s="48"/>
      <c r="C72" s="3" t="s">
        <v>218</v>
      </c>
      <c r="D72" s="39" t="s">
        <v>98</v>
      </c>
      <c r="E72" s="17"/>
      <c r="F72" s="17" t="s">
        <v>98</v>
      </c>
      <c r="G72" s="73">
        <v>3</v>
      </c>
      <c r="H72" s="93">
        <v>0</v>
      </c>
      <c r="I72" s="73">
        <v>0</v>
      </c>
      <c r="J72" s="93">
        <v>0</v>
      </c>
      <c r="K72" s="115">
        <v>0</v>
      </c>
    </row>
    <row r="73" spans="1:11" x14ac:dyDescent="0.2">
      <c r="A73" s="167"/>
      <c r="B73" s="48"/>
      <c r="C73" s="3" t="s">
        <v>219</v>
      </c>
      <c r="D73" s="39" t="s">
        <v>98</v>
      </c>
      <c r="E73" s="17"/>
      <c r="F73" s="17" t="s">
        <v>98</v>
      </c>
      <c r="G73" s="73">
        <v>3</v>
      </c>
      <c r="H73" s="93">
        <v>0</v>
      </c>
      <c r="I73" s="73">
        <v>0</v>
      </c>
      <c r="J73" s="93">
        <v>0</v>
      </c>
      <c r="K73" s="115">
        <v>0</v>
      </c>
    </row>
    <row r="74" spans="1:11" x14ac:dyDescent="0.2">
      <c r="A74" s="167"/>
      <c r="B74" s="48"/>
      <c r="C74" s="3" t="s">
        <v>220</v>
      </c>
      <c r="D74" s="39" t="s">
        <v>98</v>
      </c>
      <c r="E74" s="17"/>
      <c r="F74" s="17" t="s">
        <v>98</v>
      </c>
      <c r="G74" s="73">
        <v>3</v>
      </c>
      <c r="H74" s="93">
        <v>0</v>
      </c>
      <c r="I74" s="73">
        <v>0</v>
      </c>
      <c r="J74" s="93">
        <v>0</v>
      </c>
      <c r="K74" s="115">
        <v>0</v>
      </c>
    </row>
    <row r="75" spans="1:11" x14ac:dyDescent="0.2">
      <c r="A75" s="167"/>
      <c r="B75" s="48"/>
      <c r="C75" s="3" t="s">
        <v>221</v>
      </c>
      <c r="D75" s="39" t="s">
        <v>98</v>
      </c>
      <c r="E75" s="17"/>
      <c r="F75" s="17" t="s">
        <v>98</v>
      </c>
      <c r="G75" s="73">
        <v>3</v>
      </c>
      <c r="H75" s="93">
        <v>3</v>
      </c>
      <c r="I75" s="73">
        <v>0</v>
      </c>
      <c r="J75" s="93">
        <v>0</v>
      </c>
      <c r="K75" s="115">
        <v>0</v>
      </c>
    </row>
    <row r="76" spans="1:11" x14ac:dyDescent="0.2">
      <c r="A76" s="167"/>
      <c r="B76" s="48"/>
      <c r="C76" s="3" t="s">
        <v>222</v>
      </c>
      <c r="D76" s="39" t="s">
        <v>98</v>
      </c>
      <c r="E76" s="17"/>
      <c r="F76" s="17" t="s">
        <v>98</v>
      </c>
      <c r="G76" s="73">
        <v>3</v>
      </c>
      <c r="H76" s="93">
        <v>0</v>
      </c>
      <c r="I76" s="73">
        <v>0</v>
      </c>
      <c r="J76" s="93">
        <v>0</v>
      </c>
      <c r="K76" s="115">
        <v>0</v>
      </c>
    </row>
    <row r="77" spans="1:11" x14ac:dyDescent="0.2">
      <c r="A77" s="167"/>
      <c r="B77" s="48"/>
      <c r="C77" s="3" t="s">
        <v>223</v>
      </c>
      <c r="D77" s="39" t="s">
        <v>98</v>
      </c>
      <c r="E77" s="17"/>
      <c r="F77" s="17" t="s">
        <v>98</v>
      </c>
      <c r="G77" s="73">
        <v>3</v>
      </c>
      <c r="H77" s="93">
        <v>0</v>
      </c>
      <c r="I77" s="73">
        <v>0</v>
      </c>
      <c r="J77" s="93">
        <v>0</v>
      </c>
      <c r="K77" s="115">
        <v>0</v>
      </c>
    </row>
    <row r="78" spans="1:11" x14ac:dyDescent="0.2">
      <c r="A78" s="167"/>
      <c r="B78" s="48"/>
      <c r="C78" s="3" t="s">
        <v>422</v>
      </c>
      <c r="D78" s="39" t="s">
        <v>98</v>
      </c>
      <c r="E78" s="17"/>
      <c r="F78" s="17"/>
      <c r="G78" s="73">
        <v>4</v>
      </c>
      <c r="H78" s="93">
        <v>0</v>
      </c>
      <c r="I78" s="73">
        <v>0</v>
      </c>
      <c r="J78" s="93">
        <v>0</v>
      </c>
      <c r="K78" s="115">
        <v>0</v>
      </c>
    </row>
    <row r="79" spans="1:11" x14ac:dyDescent="0.2">
      <c r="A79" s="167"/>
      <c r="B79" s="48"/>
      <c r="C79" s="3" t="s">
        <v>224</v>
      </c>
      <c r="D79" s="39" t="s">
        <v>98</v>
      </c>
      <c r="E79" s="17"/>
      <c r="F79" s="17" t="s">
        <v>98</v>
      </c>
      <c r="G79" s="73">
        <v>4</v>
      </c>
      <c r="H79" s="93">
        <v>0</v>
      </c>
      <c r="I79" s="73">
        <v>0</v>
      </c>
      <c r="J79" s="93">
        <v>0</v>
      </c>
      <c r="K79" s="115">
        <v>0</v>
      </c>
    </row>
    <row r="80" spans="1:11" x14ac:dyDescent="0.2">
      <c r="A80" s="167"/>
      <c r="B80" s="48"/>
      <c r="C80" s="3" t="s">
        <v>225</v>
      </c>
      <c r="D80" s="39" t="s">
        <v>98</v>
      </c>
      <c r="E80" s="17"/>
      <c r="F80" s="17" t="s">
        <v>98</v>
      </c>
      <c r="G80" s="73">
        <v>6</v>
      </c>
      <c r="H80" s="93">
        <v>0</v>
      </c>
      <c r="I80" s="73">
        <v>0</v>
      </c>
      <c r="J80" s="93">
        <v>0</v>
      </c>
      <c r="K80" s="115">
        <v>0</v>
      </c>
    </row>
    <row r="81" spans="1:11" x14ac:dyDescent="0.2">
      <c r="A81" s="167"/>
      <c r="B81" s="48"/>
      <c r="C81" s="3" t="s">
        <v>226</v>
      </c>
      <c r="D81" s="39" t="s">
        <v>98</v>
      </c>
      <c r="E81" s="17"/>
      <c r="F81" s="17" t="s">
        <v>98</v>
      </c>
      <c r="G81" s="73">
        <v>6</v>
      </c>
      <c r="H81" s="93">
        <v>0</v>
      </c>
      <c r="I81" s="73">
        <v>0</v>
      </c>
      <c r="J81" s="93">
        <v>0</v>
      </c>
      <c r="K81" s="115">
        <v>0</v>
      </c>
    </row>
    <row r="82" spans="1:11" x14ac:dyDescent="0.2">
      <c r="A82" s="167"/>
      <c r="B82" s="48"/>
      <c r="C82" s="3" t="s">
        <v>227</v>
      </c>
      <c r="D82" s="39" t="s">
        <v>98</v>
      </c>
      <c r="E82" s="17"/>
      <c r="F82" s="17" t="s">
        <v>98</v>
      </c>
      <c r="G82" s="73">
        <v>6</v>
      </c>
      <c r="H82" s="93">
        <v>0</v>
      </c>
      <c r="I82" s="73">
        <v>0</v>
      </c>
      <c r="J82" s="93">
        <v>0</v>
      </c>
      <c r="K82" s="115">
        <v>0</v>
      </c>
    </row>
    <row r="83" spans="1:11" x14ac:dyDescent="0.2">
      <c r="A83" s="167"/>
      <c r="B83" s="48"/>
      <c r="C83" s="3" t="s">
        <v>228</v>
      </c>
      <c r="D83" s="39" t="s">
        <v>98</v>
      </c>
      <c r="E83" s="17"/>
      <c r="F83" s="17" t="s">
        <v>98</v>
      </c>
      <c r="G83" s="73">
        <v>6</v>
      </c>
      <c r="H83" s="93">
        <v>0</v>
      </c>
      <c r="I83" s="73">
        <v>0</v>
      </c>
      <c r="J83" s="93">
        <v>0</v>
      </c>
      <c r="K83" s="115">
        <v>0</v>
      </c>
    </row>
    <row r="84" spans="1:11" x14ac:dyDescent="0.2">
      <c r="A84" s="167"/>
      <c r="B84" s="48"/>
      <c r="C84" s="3" t="s">
        <v>229</v>
      </c>
      <c r="D84" s="39" t="s">
        <v>98</v>
      </c>
      <c r="E84" s="17"/>
      <c r="F84" s="17" t="s">
        <v>98</v>
      </c>
      <c r="G84" s="73">
        <v>6</v>
      </c>
      <c r="H84" s="93">
        <v>0</v>
      </c>
      <c r="I84" s="73">
        <v>0</v>
      </c>
      <c r="J84" s="93">
        <v>0</v>
      </c>
      <c r="K84" s="115">
        <v>0</v>
      </c>
    </row>
    <row r="85" spans="1:11" x14ac:dyDescent="0.2">
      <c r="A85" s="167"/>
      <c r="B85" s="48"/>
      <c r="C85" s="3" t="s">
        <v>423</v>
      </c>
      <c r="D85" s="39" t="s">
        <v>98</v>
      </c>
      <c r="E85" s="17"/>
      <c r="F85" s="17"/>
      <c r="G85" s="73">
        <v>3</v>
      </c>
      <c r="H85" s="93">
        <v>0</v>
      </c>
      <c r="I85" s="73">
        <v>0</v>
      </c>
      <c r="J85" s="93">
        <v>0</v>
      </c>
      <c r="K85" s="115">
        <v>0</v>
      </c>
    </row>
    <row r="86" spans="1:11" x14ac:dyDescent="0.2">
      <c r="A86" s="167"/>
      <c r="B86" s="48"/>
      <c r="C86" s="3" t="s">
        <v>230</v>
      </c>
      <c r="D86" s="39" t="s">
        <v>98</v>
      </c>
      <c r="E86" s="17"/>
      <c r="F86" s="17" t="s">
        <v>98</v>
      </c>
      <c r="G86" s="73">
        <v>3</v>
      </c>
      <c r="H86" s="93">
        <v>0</v>
      </c>
      <c r="I86" s="73">
        <v>0</v>
      </c>
      <c r="J86" s="93">
        <v>0</v>
      </c>
      <c r="K86" s="115">
        <v>0</v>
      </c>
    </row>
    <row r="87" spans="1:11" x14ac:dyDescent="0.2">
      <c r="A87" s="167"/>
      <c r="B87" s="48"/>
      <c r="C87" s="11" t="s">
        <v>231</v>
      </c>
      <c r="D87" s="39" t="s">
        <v>98</v>
      </c>
      <c r="E87" s="17"/>
      <c r="F87" s="17" t="s">
        <v>98</v>
      </c>
      <c r="G87" s="145">
        <v>2</v>
      </c>
      <c r="H87" s="146">
        <v>0</v>
      </c>
      <c r="I87" s="145">
        <v>0</v>
      </c>
      <c r="J87" s="146">
        <v>0</v>
      </c>
      <c r="K87" s="147">
        <v>0</v>
      </c>
    </row>
    <row r="88" spans="1:11" ht="13.5" thickBot="1" x14ac:dyDescent="0.25">
      <c r="A88" s="150"/>
      <c r="B88" s="51"/>
      <c r="C88" s="30" t="s">
        <v>232</v>
      </c>
      <c r="D88" s="144" t="s">
        <v>98</v>
      </c>
      <c r="E88" s="157"/>
      <c r="F88" s="157" t="s">
        <v>98</v>
      </c>
      <c r="G88" s="71">
        <v>2</v>
      </c>
      <c r="H88" s="92">
        <v>0</v>
      </c>
      <c r="I88" s="71">
        <v>0</v>
      </c>
      <c r="J88" s="92">
        <v>0</v>
      </c>
      <c r="K88" s="114">
        <v>0</v>
      </c>
    </row>
    <row r="89" spans="1:11" x14ac:dyDescent="0.2">
      <c r="A89" s="48" t="s">
        <v>321</v>
      </c>
      <c r="B89" s="48" t="s">
        <v>318</v>
      </c>
      <c r="C89" s="3" t="s">
        <v>214</v>
      </c>
      <c r="D89" s="40" t="s">
        <v>110</v>
      </c>
      <c r="E89" s="17"/>
      <c r="F89" s="17" t="s">
        <v>29</v>
      </c>
      <c r="G89" s="75">
        <f>G68*G47*G5</f>
        <v>5328</v>
      </c>
      <c r="H89" s="95">
        <f>H68*H47*H5</f>
        <v>0</v>
      </c>
      <c r="I89" s="75">
        <f>I68*I47*I5</f>
        <v>0</v>
      </c>
      <c r="J89" s="95">
        <f>J68*J47*J5</f>
        <v>0</v>
      </c>
      <c r="K89" s="116">
        <f>K68*K47*K5</f>
        <v>0</v>
      </c>
    </row>
    <row r="90" spans="1:11" x14ac:dyDescent="0.2">
      <c r="A90" s="48"/>
      <c r="B90" s="48"/>
      <c r="C90" s="3" t="s">
        <v>215</v>
      </c>
      <c r="D90" s="39" t="s">
        <v>112</v>
      </c>
      <c r="E90" s="17"/>
      <c r="F90" s="17" t="s">
        <v>29</v>
      </c>
      <c r="G90" s="75">
        <f>G69*G48*G8</f>
        <v>1417.5</v>
      </c>
      <c r="H90" s="95">
        <f>H69*H48*H8</f>
        <v>0</v>
      </c>
      <c r="I90" s="75">
        <f>I69*I48*I8</f>
        <v>0</v>
      </c>
      <c r="J90" s="95">
        <f>J69*J48*J8</f>
        <v>0</v>
      </c>
      <c r="K90" s="117">
        <f>K69*K48*K8</f>
        <v>0</v>
      </c>
    </row>
    <row r="91" spans="1:11" x14ac:dyDescent="0.2">
      <c r="A91" s="48"/>
      <c r="B91" s="48"/>
      <c r="C91" s="3" t="s">
        <v>216</v>
      </c>
      <c r="D91" s="39" t="s">
        <v>111</v>
      </c>
      <c r="E91" s="17"/>
      <c r="F91" s="17" t="s">
        <v>29</v>
      </c>
      <c r="G91" s="75">
        <f>G70*G49*G7</f>
        <v>4528.7999999999993</v>
      </c>
      <c r="H91" s="95">
        <f>H70*H49*H7</f>
        <v>0</v>
      </c>
      <c r="I91" s="75">
        <f>I70*I49*I7</f>
        <v>0</v>
      </c>
      <c r="J91" s="95">
        <f>J70*J49*J7</f>
        <v>0</v>
      </c>
      <c r="K91" s="117">
        <f>K70*K49*K7</f>
        <v>0</v>
      </c>
    </row>
    <row r="92" spans="1:11" x14ac:dyDescent="0.2">
      <c r="A92" s="48"/>
      <c r="B92" s="48"/>
      <c r="C92" s="3" t="s">
        <v>217</v>
      </c>
      <c r="D92" s="39" t="s">
        <v>113</v>
      </c>
      <c r="E92" s="17"/>
      <c r="F92" s="17" t="s">
        <v>29</v>
      </c>
      <c r="G92" s="75">
        <f>G71*G50*G9</f>
        <v>2664</v>
      </c>
      <c r="H92" s="95">
        <f>H71*H50*H9</f>
        <v>0</v>
      </c>
      <c r="I92" s="75">
        <f>I71*I50*I9</f>
        <v>0</v>
      </c>
      <c r="J92" s="95">
        <f>J71*J50*J9</f>
        <v>0</v>
      </c>
      <c r="K92" s="117">
        <f>K71*K50*K9</f>
        <v>0</v>
      </c>
    </row>
    <row r="93" spans="1:11" x14ac:dyDescent="0.2">
      <c r="A93" s="48"/>
      <c r="B93" s="48"/>
      <c r="C93" s="3" t="s">
        <v>218</v>
      </c>
      <c r="D93" s="39" t="s">
        <v>49</v>
      </c>
      <c r="E93" s="17"/>
      <c r="F93" s="17" t="s">
        <v>29</v>
      </c>
      <c r="G93" s="75">
        <f>G72*G51*G12</f>
        <v>10800</v>
      </c>
      <c r="H93" s="95">
        <f>H72*H51*H12</f>
        <v>0</v>
      </c>
      <c r="I93" s="75">
        <f>I72*I51*I12</f>
        <v>0</v>
      </c>
      <c r="J93" s="95">
        <f>J72*J51*J12</f>
        <v>0</v>
      </c>
      <c r="K93" s="117">
        <f>K72*K51*K12</f>
        <v>0</v>
      </c>
    </row>
    <row r="94" spans="1:11" x14ac:dyDescent="0.2">
      <c r="A94" s="48"/>
      <c r="B94" s="48"/>
      <c r="C94" s="3" t="s">
        <v>219</v>
      </c>
      <c r="D94" s="39" t="s">
        <v>110</v>
      </c>
      <c r="E94" s="17"/>
      <c r="F94" s="17" t="s">
        <v>29</v>
      </c>
      <c r="G94" s="75">
        <f>G73*G52*G5</f>
        <v>3330</v>
      </c>
      <c r="H94" s="95">
        <f>H73*H52*H5</f>
        <v>0</v>
      </c>
      <c r="I94" s="75">
        <f>I73*I52*I5</f>
        <v>0</v>
      </c>
      <c r="J94" s="95">
        <f>J73*J52*J5</f>
        <v>0</v>
      </c>
      <c r="K94" s="117">
        <f>K73*K52*K5</f>
        <v>0</v>
      </c>
    </row>
    <row r="95" spans="1:11" x14ac:dyDescent="0.2">
      <c r="A95" s="48"/>
      <c r="B95" s="48"/>
      <c r="C95" s="3" t="s">
        <v>220</v>
      </c>
      <c r="D95" s="39" t="s">
        <v>49</v>
      </c>
      <c r="E95" s="17"/>
      <c r="F95" s="17" t="s">
        <v>29</v>
      </c>
      <c r="G95" s="75">
        <f>G74*G53*G8</f>
        <v>1417.5</v>
      </c>
      <c r="H95" s="95">
        <f>H74*H53*H8</f>
        <v>0</v>
      </c>
      <c r="I95" s="75">
        <f>I74*I53*I8</f>
        <v>0</v>
      </c>
      <c r="J95" s="95">
        <f>J74*J53*J8</f>
        <v>0</v>
      </c>
      <c r="K95" s="117">
        <f>K74*K53*K8</f>
        <v>0</v>
      </c>
    </row>
    <row r="96" spans="1:11" x14ac:dyDescent="0.2">
      <c r="A96" s="48"/>
      <c r="B96" s="48"/>
      <c r="C96" s="3" t="s">
        <v>221</v>
      </c>
      <c r="D96" s="39" t="s">
        <v>111</v>
      </c>
      <c r="E96" s="17"/>
      <c r="F96" s="17" t="s">
        <v>29</v>
      </c>
      <c r="G96" s="75">
        <f>G75*G54*G7</f>
        <v>2264.3999999999996</v>
      </c>
      <c r="H96" s="95">
        <f>H75*H54*H7</f>
        <v>0</v>
      </c>
      <c r="I96" s="75">
        <f>I75*I54*I7</f>
        <v>0</v>
      </c>
      <c r="J96" s="95">
        <f>J75*J54*J7</f>
        <v>0</v>
      </c>
      <c r="K96" s="117">
        <f>K75*K54*K7</f>
        <v>0</v>
      </c>
    </row>
    <row r="97" spans="1:11" x14ac:dyDescent="0.2">
      <c r="A97" s="48"/>
      <c r="B97" s="48"/>
      <c r="C97" s="3" t="s">
        <v>222</v>
      </c>
      <c r="D97" s="39" t="s">
        <v>112</v>
      </c>
      <c r="E97" s="17"/>
      <c r="F97" s="17" t="s">
        <v>29</v>
      </c>
      <c r="G97" s="75">
        <f>G76*G55*G9</f>
        <v>1332</v>
      </c>
      <c r="H97" s="95">
        <f>H76*H55*H9</f>
        <v>0</v>
      </c>
      <c r="I97" s="75">
        <f>I76*I55*I9</f>
        <v>0</v>
      </c>
      <c r="J97" s="95">
        <f>J76*J55*J9</f>
        <v>0</v>
      </c>
      <c r="K97" s="117">
        <f>K76*K55*K9</f>
        <v>0</v>
      </c>
    </row>
    <row r="98" spans="1:11" x14ac:dyDescent="0.2">
      <c r="A98" s="48"/>
      <c r="B98" s="48"/>
      <c r="C98" s="3" t="s">
        <v>223</v>
      </c>
      <c r="D98" s="39" t="s">
        <v>49</v>
      </c>
      <c r="E98" s="17"/>
      <c r="F98" s="17" t="s">
        <v>29</v>
      </c>
      <c r="G98" s="75">
        <f>G79*G58*G12</f>
        <v>14400</v>
      </c>
      <c r="H98" s="95">
        <f>H79*H58*H12</f>
        <v>0</v>
      </c>
      <c r="I98" s="75">
        <f>I79*I58*I12</f>
        <v>0</v>
      </c>
      <c r="J98" s="95">
        <f>J79*J58*J12</f>
        <v>0</v>
      </c>
      <c r="K98" s="117">
        <f>K79*K58*K12</f>
        <v>0</v>
      </c>
    </row>
    <row r="99" spans="1:11" x14ac:dyDescent="0.2">
      <c r="A99" s="48"/>
      <c r="B99" s="48"/>
      <c r="C99" s="3" t="s">
        <v>422</v>
      </c>
      <c r="D99" s="39" t="s">
        <v>110</v>
      </c>
      <c r="E99" s="17"/>
      <c r="F99" s="17"/>
      <c r="G99" s="75">
        <f>G78*G57*G5</f>
        <v>3552</v>
      </c>
      <c r="H99" s="95">
        <f t="shared" ref="H99:K99" si="16">H78*H57*H5</f>
        <v>0</v>
      </c>
      <c r="I99" s="75">
        <f t="shared" si="16"/>
        <v>0</v>
      </c>
      <c r="J99" s="95">
        <f t="shared" si="16"/>
        <v>0</v>
      </c>
      <c r="K99" s="117">
        <f t="shared" si="16"/>
        <v>0</v>
      </c>
    </row>
    <row r="100" spans="1:11" x14ac:dyDescent="0.2">
      <c r="A100" s="48"/>
      <c r="B100" s="48"/>
      <c r="C100" s="3" t="s">
        <v>224</v>
      </c>
      <c r="D100" s="39" t="s">
        <v>49</v>
      </c>
      <c r="E100" s="17"/>
      <c r="F100" s="17" t="s">
        <v>29</v>
      </c>
      <c r="G100" s="75">
        <f>G79*G58*G12</f>
        <v>14400</v>
      </c>
      <c r="H100" s="95">
        <f>H79*H58*H12</f>
        <v>0</v>
      </c>
      <c r="I100" s="75">
        <f>I79*I58*I12</f>
        <v>0</v>
      </c>
      <c r="J100" s="95">
        <f>J79*J58*J12</f>
        <v>0</v>
      </c>
      <c r="K100" s="117">
        <f>K79*K58*K12</f>
        <v>0</v>
      </c>
    </row>
    <row r="101" spans="1:11" x14ac:dyDescent="0.2">
      <c r="A101" s="48"/>
      <c r="B101" s="48"/>
      <c r="C101" s="3" t="s">
        <v>225</v>
      </c>
      <c r="D101" s="39" t="s">
        <v>110</v>
      </c>
      <c r="E101" s="17"/>
      <c r="F101" s="17" t="s">
        <v>29</v>
      </c>
      <c r="G101" s="75">
        <f>G80*G59*G5</f>
        <v>4662</v>
      </c>
      <c r="H101" s="95">
        <f>H80*H59*H5</f>
        <v>0</v>
      </c>
      <c r="I101" s="75">
        <f>I80*I59*I5</f>
        <v>0</v>
      </c>
      <c r="J101" s="95">
        <f>J80*J59*J5</f>
        <v>0</v>
      </c>
      <c r="K101" s="117">
        <f>K80*K59*K5</f>
        <v>0</v>
      </c>
    </row>
    <row r="102" spans="1:11" x14ac:dyDescent="0.2">
      <c r="A102" s="48"/>
      <c r="B102" s="48"/>
      <c r="C102" s="3" t="s">
        <v>226</v>
      </c>
      <c r="D102" s="39" t="s">
        <v>112</v>
      </c>
      <c r="E102" s="17"/>
      <c r="F102" s="17" t="s">
        <v>29</v>
      </c>
      <c r="G102" s="75">
        <f>G81*G60*G8</f>
        <v>567.00000000000011</v>
      </c>
      <c r="H102" s="95">
        <f>H81*H60*H8</f>
        <v>0</v>
      </c>
      <c r="I102" s="75">
        <f>I81*I60*I8</f>
        <v>0</v>
      </c>
      <c r="J102" s="95">
        <f>J81*J60*J8</f>
        <v>0</v>
      </c>
      <c r="K102" s="117">
        <f>K81*K60*K8</f>
        <v>0</v>
      </c>
    </row>
    <row r="103" spans="1:11" x14ac:dyDescent="0.2">
      <c r="A103" s="48"/>
      <c r="B103" s="48"/>
      <c r="C103" s="3" t="s">
        <v>227</v>
      </c>
      <c r="D103" s="39" t="s">
        <v>111</v>
      </c>
      <c r="E103" s="17"/>
      <c r="F103" s="17" t="s">
        <v>29</v>
      </c>
      <c r="G103" s="75">
        <f>G82*G61*G7</f>
        <v>4528.7999999999993</v>
      </c>
      <c r="H103" s="95">
        <f>H82*H61*H7</f>
        <v>0</v>
      </c>
      <c r="I103" s="75">
        <f>I82*I61*I7</f>
        <v>0</v>
      </c>
      <c r="J103" s="95">
        <f>J82*J61*J7</f>
        <v>0</v>
      </c>
      <c r="K103" s="117">
        <f>K82*K61*K7</f>
        <v>0</v>
      </c>
    </row>
    <row r="104" spans="1:11" x14ac:dyDescent="0.2">
      <c r="A104" s="48"/>
      <c r="B104" s="48"/>
      <c r="C104" s="3" t="s">
        <v>228</v>
      </c>
      <c r="D104" s="39" t="s">
        <v>113</v>
      </c>
      <c r="E104" s="17"/>
      <c r="F104" s="17" t="s">
        <v>29</v>
      </c>
      <c r="G104" s="75">
        <f>G83*G62*G9</f>
        <v>2664</v>
      </c>
      <c r="H104" s="95">
        <f>H83*H62*H9</f>
        <v>0</v>
      </c>
      <c r="I104" s="75">
        <f>I83*I62*I9</f>
        <v>0</v>
      </c>
      <c r="J104" s="95">
        <f>J83*J62*J9</f>
        <v>0</v>
      </c>
      <c r="K104" s="117">
        <f>K83*K62*K9</f>
        <v>0</v>
      </c>
    </row>
    <row r="105" spans="1:11" x14ac:dyDescent="0.2">
      <c r="A105" s="48"/>
      <c r="B105" s="48"/>
      <c r="C105" s="3" t="s">
        <v>229</v>
      </c>
      <c r="D105" s="39" t="s">
        <v>49</v>
      </c>
      <c r="E105" s="17"/>
      <c r="F105" s="17" t="s">
        <v>29</v>
      </c>
      <c r="G105" s="75">
        <f>G84*G63*G12</f>
        <v>8100</v>
      </c>
      <c r="H105" s="95">
        <f>H84*H63*H12</f>
        <v>0</v>
      </c>
      <c r="I105" s="75">
        <f>I84*I63*I12</f>
        <v>0</v>
      </c>
      <c r="J105" s="95">
        <f>J84*J63*J12</f>
        <v>0</v>
      </c>
      <c r="K105" s="117">
        <f>K84*K63*K12</f>
        <v>0</v>
      </c>
    </row>
    <row r="106" spans="1:11" x14ac:dyDescent="0.2">
      <c r="A106" s="48"/>
      <c r="B106" s="48"/>
      <c r="C106" s="3" t="s">
        <v>423</v>
      </c>
      <c r="D106" s="39" t="s">
        <v>110</v>
      </c>
      <c r="E106" s="17"/>
      <c r="F106" s="17"/>
      <c r="G106" s="75">
        <f>G85*G64*G5</f>
        <v>1998</v>
      </c>
      <c r="H106" s="95">
        <f t="shared" ref="H106:K106" si="17">H85*H64*H5</f>
        <v>0</v>
      </c>
      <c r="I106" s="75">
        <f t="shared" si="17"/>
        <v>0</v>
      </c>
      <c r="J106" s="95">
        <f t="shared" si="17"/>
        <v>0</v>
      </c>
      <c r="K106" s="117">
        <f t="shared" si="17"/>
        <v>0</v>
      </c>
    </row>
    <row r="107" spans="1:11" x14ac:dyDescent="0.2">
      <c r="A107" s="48"/>
      <c r="B107" s="48"/>
      <c r="C107" s="3" t="s">
        <v>230</v>
      </c>
      <c r="D107" s="39" t="s">
        <v>49</v>
      </c>
      <c r="E107" s="17"/>
      <c r="F107" s="17" t="s">
        <v>29</v>
      </c>
      <c r="G107" s="75">
        <f>G86*G65*G12</f>
        <v>8100</v>
      </c>
      <c r="H107" s="95">
        <f>H86*H65*H12</f>
        <v>0</v>
      </c>
      <c r="I107" s="75">
        <f>I86*I65*I12</f>
        <v>0</v>
      </c>
      <c r="J107" s="95">
        <f>J86*J65*J12</f>
        <v>0</v>
      </c>
      <c r="K107" s="117">
        <f>K86*K65*K12</f>
        <v>0</v>
      </c>
    </row>
    <row r="108" spans="1:11" x14ac:dyDescent="0.2">
      <c r="A108" s="48"/>
      <c r="B108" s="48"/>
      <c r="C108" s="3" t="s">
        <v>231</v>
      </c>
      <c r="D108" s="39" t="s">
        <v>110</v>
      </c>
      <c r="E108" s="17"/>
      <c r="F108" s="17" t="s">
        <v>29</v>
      </c>
      <c r="G108" s="76">
        <f>G87*G66*G5</f>
        <v>2664</v>
      </c>
      <c r="H108" s="96">
        <f>H87*H66*H5</f>
        <v>0</v>
      </c>
      <c r="I108" s="76">
        <f>I87*I66*I5</f>
        <v>0</v>
      </c>
      <c r="J108" s="96">
        <f>J87*J66*J5</f>
        <v>0</v>
      </c>
      <c r="K108" s="175">
        <f>K87*K66*K5</f>
        <v>0</v>
      </c>
    </row>
    <row r="109" spans="1:11" x14ac:dyDescent="0.2">
      <c r="A109" s="48"/>
      <c r="B109" s="48"/>
      <c r="C109" s="3" t="s">
        <v>232</v>
      </c>
      <c r="D109" s="39" t="s">
        <v>49</v>
      </c>
      <c r="E109" s="17"/>
      <c r="F109" s="17" t="s">
        <v>29</v>
      </c>
      <c r="G109" s="76">
        <f>G88*G67*G12</f>
        <v>3600</v>
      </c>
      <c r="H109" s="96">
        <f>H88*H67*H12</f>
        <v>0</v>
      </c>
      <c r="I109" s="76">
        <f>I88*I67*I12</f>
        <v>0</v>
      </c>
      <c r="J109" s="96">
        <f>J88*J67*J12</f>
        <v>0</v>
      </c>
      <c r="K109" s="175">
        <f>K88*K67*K12</f>
        <v>0</v>
      </c>
    </row>
    <row r="110" spans="1:11" x14ac:dyDescent="0.2">
      <c r="A110" s="48"/>
      <c r="B110" s="168"/>
      <c r="C110" s="3" t="s">
        <v>218</v>
      </c>
      <c r="D110" s="39" t="s">
        <v>98</v>
      </c>
      <c r="E110" s="17"/>
      <c r="F110" s="17" t="s">
        <v>98</v>
      </c>
      <c r="G110" s="75">
        <f>SUM(G89:G93)</f>
        <v>24738.3</v>
      </c>
      <c r="H110" s="95">
        <f t="shared" ref="H110:K110" si="18">SUM(H89:H93)</f>
        <v>0</v>
      </c>
      <c r="I110" s="75">
        <f t="shared" si="18"/>
        <v>0</v>
      </c>
      <c r="J110" s="95">
        <f t="shared" si="18"/>
        <v>0</v>
      </c>
      <c r="K110" s="117">
        <f t="shared" si="18"/>
        <v>0</v>
      </c>
    </row>
    <row r="111" spans="1:11" x14ac:dyDescent="0.2">
      <c r="A111" s="48"/>
      <c r="B111" s="168"/>
      <c r="C111" s="3" t="s">
        <v>219</v>
      </c>
      <c r="D111" s="39" t="s">
        <v>98</v>
      </c>
      <c r="E111" s="17"/>
      <c r="F111" s="17" t="s">
        <v>98</v>
      </c>
      <c r="G111" s="75">
        <f>SUM(G94:G98)</f>
        <v>22743.9</v>
      </c>
      <c r="H111" s="95">
        <f t="shared" ref="H111:K111" si="19">SUM(H94:H98)</f>
        <v>0</v>
      </c>
      <c r="I111" s="75">
        <f t="shared" si="19"/>
        <v>0</v>
      </c>
      <c r="J111" s="95">
        <f t="shared" si="19"/>
        <v>0</v>
      </c>
      <c r="K111" s="117">
        <f t="shared" si="19"/>
        <v>0</v>
      </c>
    </row>
    <row r="112" spans="1:11" x14ac:dyDescent="0.2">
      <c r="A112" s="48"/>
      <c r="B112" s="168"/>
      <c r="C112" s="3" t="s">
        <v>224</v>
      </c>
      <c r="D112" s="39" t="s">
        <v>98</v>
      </c>
      <c r="E112" s="17"/>
      <c r="F112" s="17" t="s">
        <v>98</v>
      </c>
      <c r="G112" s="75">
        <f>SUM(G99:G100)</f>
        <v>17952</v>
      </c>
      <c r="H112" s="95">
        <f t="shared" ref="H112:K112" si="20">H100</f>
        <v>0</v>
      </c>
      <c r="I112" s="75">
        <f t="shared" si="20"/>
        <v>0</v>
      </c>
      <c r="J112" s="95">
        <f t="shared" si="20"/>
        <v>0</v>
      </c>
      <c r="K112" s="117">
        <f t="shared" si="20"/>
        <v>0</v>
      </c>
    </row>
    <row r="113" spans="1:11" x14ac:dyDescent="0.2">
      <c r="A113" s="48"/>
      <c r="B113" s="168"/>
      <c r="C113" s="3" t="s">
        <v>225</v>
      </c>
      <c r="D113" s="39" t="s">
        <v>98</v>
      </c>
      <c r="E113" s="17"/>
      <c r="F113" s="17" t="s">
        <v>98</v>
      </c>
      <c r="G113" s="75">
        <f>SUM(G101:G105)</f>
        <v>20521.8</v>
      </c>
      <c r="H113" s="95">
        <f t="shared" ref="H113:K113" si="21">SUM(H101:H105)</f>
        <v>0</v>
      </c>
      <c r="I113" s="75">
        <f t="shared" si="21"/>
        <v>0</v>
      </c>
      <c r="J113" s="95">
        <f t="shared" si="21"/>
        <v>0</v>
      </c>
      <c r="K113" s="117">
        <f t="shared" si="21"/>
        <v>0</v>
      </c>
    </row>
    <row r="114" spans="1:11" x14ac:dyDescent="0.2">
      <c r="A114" s="48"/>
      <c r="B114" s="168"/>
      <c r="C114" s="3" t="s">
        <v>230</v>
      </c>
      <c r="D114" s="39" t="s">
        <v>98</v>
      </c>
      <c r="E114" s="17"/>
      <c r="F114" s="17" t="s">
        <v>98</v>
      </c>
      <c r="G114" s="75">
        <f>SUM(G106:G107)</f>
        <v>10098</v>
      </c>
      <c r="H114" s="95">
        <f t="shared" ref="H114:K114" si="22">SUM(H107)</f>
        <v>0</v>
      </c>
      <c r="I114" s="75">
        <f t="shared" si="22"/>
        <v>0</v>
      </c>
      <c r="J114" s="95">
        <f t="shared" si="22"/>
        <v>0</v>
      </c>
      <c r="K114" s="117">
        <f t="shared" si="22"/>
        <v>0</v>
      </c>
    </row>
    <row r="115" spans="1:11" x14ac:dyDescent="0.2">
      <c r="A115" s="48"/>
      <c r="B115" s="168"/>
      <c r="C115" s="3" t="s">
        <v>231</v>
      </c>
      <c r="D115" s="39" t="s">
        <v>98</v>
      </c>
      <c r="E115" s="17"/>
      <c r="F115" s="17" t="s">
        <v>98</v>
      </c>
      <c r="G115" s="75">
        <f>SUM(G108:G109)</f>
        <v>6264</v>
      </c>
      <c r="H115" s="95">
        <f t="shared" ref="H115:K115" si="23">SUM(H108:H109)</f>
        <v>0</v>
      </c>
      <c r="I115" s="75">
        <f t="shared" si="23"/>
        <v>0</v>
      </c>
      <c r="J115" s="95">
        <f t="shared" si="23"/>
        <v>0</v>
      </c>
      <c r="K115" s="117">
        <f t="shared" si="23"/>
        <v>0</v>
      </c>
    </row>
    <row r="116" spans="1:11" s="50" customFormat="1" ht="13.5" thickBot="1" x14ac:dyDescent="0.25">
      <c r="A116" s="150"/>
      <c r="B116" s="49"/>
      <c r="C116" s="52" t="s">
        <v>48</v>
      </c>
      <c r="D116" s="53" t="s">
        <v>98</v>
      </c>
      <c r="E116" s="54"/>
      <c r="F116" s="54" t="s">
        <v>98</v>
      </c>
      <c r="G116" s="55">
        <f>SUM(G110:G115)</f>
        <v>102318</v>
      </c>
      <c r="H116" s="55">
        <f>SUM(H110:H115)</f>
        <v>0</v>
      </c>
      <c r="I116" s="55">
        <f>SUM(I110:I115)</f>
        <v>0</v>
      </c>
      <c r="J116" s="55">
        <f>SUM(J110:J115)</f>
        <v>0</v>
      </c>
      <c r="K116" s="56">
        <f>SUM(K110:K115)</f>
        <v>0</v>
      </c>
    </row>
    <row r="117" spans="1:11" x14ac:dyDescent="0.2">
      <c r="B117" s="169" t="s">
        <v>322</v>
      </c>
      <c r="C117" s="21" t="s">
        <v>42</v>
      </c>
      <c r="D117" s="38" t="s">
        <v>304</v>
      </c>
      <c r="E117" s="22"/>
      <c r="F117" s="22" t="s">
        <v>29</v>
      </c>
      <c r="G117" s="77">
        <v>0</v>
      </c>
      <c r="H117" s="97">
        <v>0</v>
      </c>
      <c r="I117" s="77">
        <v>0</v>
      </c>
      <c r="J117" s="97">
        <v>0</v>
      </c>
      <c r="K117" s="124">
        <v>0</v>
      </c>
    </row>
    <row r="118" spans="1:11" x14ac:dyDescent="0.2">
      <c r="B118" s="48"/>
      <c r="C118" s="3" t="s">
        <v>44</v>
      </c>
      <c r="D118" s="39" t="s">
        <v>303</v>
      </c>
      <c r="E118" s="17"/>
      <c r="F118" s="17" t="s">
        <v>29</v>
      </c>
      <c r="G118" s="78">
        <f>(G41*(G17+G18))+(G42*G16)+(G43*(G17+G18))+(G44*G16)+(G45*G17)+(G46*G16)</f>
        <v>0</v>
      </c>
      <c r="H118" s="98">
        <f ca="1">(H41*(H17+H18))+(H42*H16)+(H43*(H17+H18))+(H44*H16)+(H45*H17)+(H46*H16)</f>
        <v>0</v>
      </c>
      <c r="I118" s="78">
        <f ca="1">(I41*(I17+I18))+(I42*I16)+(I43*(I17+I18))+(I44*I16)+(I45*I17)+(I46*I16)</f>
        <v>0</v>
      </c>
      <c r="J118" s="98">
        <f ca="1">(J41*(J17+J18))+(J42*J16)+(J43*(J17+J18))+(J44*J16)+(J45*J17)+(J46*J16)</f>
        <v>0</v>
      </c>
      <c r="K118" s="118">
        <f ca="1">(K41*(K17+K18))+(K42*K16)+(K43*(K17+K18))+(K44*K16)+(K45*K17)+(K46*K16)</f>
        <v>0</v>
      </c>
    </row>
    <row r="119" spans="1:11" x14ac:dyDescent="0.2">
      <c r="A119" s="1"/>
      <c r="B119" s="48"/>
      <c r="C119" s="14" t="s">
        <v>45</v>
      </c>
      <c r="D119" s="149" t="s">
        <v>304</v>
      </c>
      <c r="E119" s="25"/>
      <c r="F119" s="25" t="s">
        <v>29</v>
      </c>
      <c r="G119" s="78">
        <v>0</v>
      </c>
      <c r="H119" s="98">
        <v>0</v>
      </c>
      <c r="I119" s="78">
        <v>0</v>
      </c>
      <c r="J119" s="98">
        <v>0</v>
      </c>
      <c r="K119" s="118">
        <v>0</v>
      </c>
    </row>
    <row r="120" spans="1:11" x14ac:dyDescent="0.2">
      <c r="A120" s="1"/>
      <c r="B120" s="48"/>
      <c r="C120" s="14" t="s">
        <v>46</v>
      </c>
      <c r="D120" s="149" t="s">
        <v>304</v>
      </c>
      <c r="E120" s="25"/>
      <c r="F120" s="25" t="s">
        <v>29</v>
      </c>
      <c r="G120" s="78">
        <v>0</v>
      </c>
      <c r="H120" s="98">
        <v>0</v>
      </c>
      <c r="I120" s="78">
        <v>0</v>
      </c>
      <c r="J120" s="98">
        <v>0</v>
      </c>
      <c r="K120" s="118">
        <v>0</v>
      </c>
    </row>
    <row r="121" spans="1:11" x14ac:dyDescent="0.2">
      <c r="A121" s="1"/>
      <c r="B121" s="48"/>
      <c r="C121" s="151" t="s">
        <v>47</v>
      </c>
      <c r="D121" s="149" t="s">
        <v>304</v>
      </c>
      <c r="E121" s="152"/>
      <c r="F121" s="25" t="s">
        <v>29</v>
      </c>
      <c r="G121" s="79">
        <v>0</v>
      </c>
      <c r="H121" s="100">
        <v>0</v>
      </c>
      <c r="I121" s="79">
        <v>0</v>
      </c>
      <c r="J121" s="100">
        <v>0</v>
      </c>
      <c r="K121" s="119">
        <v>0</v>
      </c>
    </row>
    <row r="122" spans="1:11" s="50" customFormat="1" ht="13.5" thickBot="1" x14ac:dyDescent="0.25">
      <c r="B122" s="51"/>
      <c r="C122" s="52" t="s">
        <v>48</v>
      </c>
      <c r="D122" s="57" t="s">
        <v>98</v>
      </c>
      <c r="E122" s="54"/>
      <c r="F122" s="54" t="s">
        <v>98</v>
      </c>
      <c r="G122" s="61">
        <f>SUM(G117:G121)</f>
        <v>0</v>
      </c>
      <c r="H122" s="61">
        <f ca="1">SUM(H117:H121)</f>
        <v>0</v>
      </c>
      <c r="I122" s="61">
        <f ca="1">SUM(I117:I121)</f>
        <v>0</v>
      </c>
      <c r="J122" s="61">
        <f ca="1">SUM(J117:J121)</f>
        <v>0</v>
      </c>
      <c r="K122" s="62">
        <f ca="1">SUM(K117:K121)</f>
        <v>0</v>
      </c>
    </row>
    <row r="123" spans="1:11" x14ac:dyDescent="0.2">
      <c r="A123" s="1"/>
      <c r="B123" s="169" t="s">
        <v>326</v>
      </c>
      <c r="C123" s="35" t="s">
        <v>50</v>
      </c>
      <c r="D123" s="42" t="s">
        <v>96</v>
      </c>
      <c r="E123" s="22"/>
      <c r="F123" s="22" t="s">
        <v>29</v>
      </c>
      <c r="G123" s="80">
        <v>0</v>
      </c>
      <c r="H123" s="99">
        <v>0</v>
      </c>
      <c r="I123" s="80">
        <v>0</v>
      </c>
      <c r="J123" s="99">
        <v>0</v>
      </c>
      <c r="K123" s="125">
        <v>0</v>
      </c>
    </row>
    <row r="124" spans="1:11" x14ac:dyDescent="0.2">
      <c r="A124" s="1"/>
      <c r="B124" s="48"/>
      <c r="C124" s="14" t="s">
        <v>76</v>
      </c>
      <c r="D124" s="39" t="s">
        <v>96</v>
      </c>
      <c r="E124" s="17"/>
      <c r="F124" s="17" t="s">
        <v>29</v>
      </c>
      <c r="G124" s="78">
        <v>0</v>
      </c>
      <c r="H124" s="98">
        <v>0</v>
      </c>
      <c r="I124" s="78">
        <v>0</v>
      </c>
      <c r="J124" s="98">
        <v>0</v>
      </c>
      <c r="K124" s="118">
        <v>0</v>
      </c>
    </row>
    <row r="125" spans="1:11" x14ac:dyDescent="0.2">
      <c r="A125" s="1"/>
      <c r="B125" s="48"/>
      <c r="C125" s="14" t="s">
        <v>51</v>
      </c>
      <c r="D125" s="39" t="s">
        <v>96</v>
      </c>
      <c r="E125" s="17"/>
      <c r="F125" s="17" t="s">
        <v>29</v>
      </c>
      <c r="G125" s="78">
        <v>0</v>
      </c>
      <c r="H125" s="98">
        <v>0</v>
      </c>
      <c r="I125" s="78">
        <v>0</v>
      </c>
      <c r="J125" s="98">
        <v>0</v>
      </c>
      <c r="K125" s="118">
        <v>0</v>
      </c>
    </row>
    <row r="126" spans="1:11" x14ac:dyDescent="0.2">
      <c r="A126" s="1"/>
      <c r="B126" s="48"/>
      <c r="C126" s="14" t="s">
        <v>52</v>
      </c>
      <c r="D126" s="39" t="s">
        <v>96</v>
      </c>
      <c r="E126" s="17"/>
      <c r="F126" s="17" t="s">
        <v>29</v>
      </c>
      <c r="G126" s="78">
        <v>0</v>
      </c>
      <c r="H126" s="98">
        <v>0</v>
      </c>
      <c r="I126" s="78">
        <v>0</v>
      </c>
      <c r="J126" s="98">
        <v>0</v>
      </c>
      <c r="K126" s="118">
        <v>0</v>
      </c>
    </row>
    <row r="127" spans="1:11" s="50" customFormat="1" ht="13.5" thickBot="1" x14ac:dyDescent="0.25">
      <c r="B127" s="51"/>
      <c r="C127" s="52" t="s">
        <v>48</v>
      </c>
      <c r="D127" s="53" t="s">
        <v>98</v>
      </c>
      <c r="E127" s="54"/>
      <c r="F127" s="54" t="s">
        <v>98</v>
      </c>
      <c r="G127" s="61">
        <f>SUM(G123:G126)</f>
        <v>0</v>
      </c>
      <c r="H127" s="61">
        <f>SUM(H123:H126)</f>
        <v>0</v>
      </c>
      <c r="I127" s="61">
        <f>SUM(I123:I126)</f>
        <v>0</v>
      </c>
      <c r="J127" s="61">
        <f>SUM(J123:J126)</f>
        <v>0</v>
      </c>
      <c r="K127" s="62">
        <f>SUM(K123:K126)</f>
        <v>0</v>
      </c>
    </row>
    <row r="129" spans="1:17" ht="13.5" thickBot="1" x14ac:dyDescent="0.25">
      <c r="A129" s="1"/>
    </row>
    <row r="130" spans="1:17" s="50" customFormat="1" x14ac:dyDescent="0.2">
      <c r="C130" s="126" t="s">
        <v>120</v>
      </c>
      <c r="D130" s="127"/>
      <c r="E130" s="128"/>
      <c r="F130" s="129"/>
      <c r="G130" s="134">
        <f>SUM(G116+G122+G127)</f>
        <v>102318</v>
      </c>
      <c r="H130" s="134">
        <f ca="1">SUM(H116+H122+H127)</f>
        <v>0</v>
      </c>
      <c r="I130" s="134">
        <f ca="1">SUM(I116+I122+I127)</f>
        <v>0</v>
      </c>
      <c r="J130" s="134">
        <f ca="1">SUM(J116+J122+J127)</f>
        <v>0</v>
      </c>
      <c r="K130" s="135">
        <f ca="1">SUM(K116+K122+K127)</f>
        <v>0</v>
      </c>
      <c r="M130" s="1"/>
      <c r="N130" s="1"/>
      <c r="O130" s="1"/>
      <c r="P130" s="1"/>
      <c r="Q130" s="1"/>
    </row>
    <row r="131" spans="1:17" ht="13.5" thickBot="1" x14ac:dyDescent="0.25">
      <c r="A131" s="1"/>
      <c r="C131" s="130" t="s">
        <v>121</v>
      </c>
      <c r="D131" s="131"/>
      <c r="E131" s="132"/>
      <c r="F131" s="133"/>
      <c r="G131" s="136">
        <f>G130</f>
        <v>102318</v>
      </c>
      <c r="H131" s="136">
        <f ca="1">G131+H130</f>
        <v>102318</v>
      </c>
      <c r="I131" s="136">
        <f ca="1">H131+I130</f>
        <v>102318</v>
      </c>
      <c r="J131" s="136">
        <f ca="1">I131+J130</f>
        <v>102318</v>
      </c>
      <c r="K131" s="137">
        <f ca="1">J131+K130</f>
        <v>102318</v>
      </c>
    </row>
    <row r="132" spans="1:17" x14ac:dyDescent="0.2">
      <c r="A132" s="1"/>
      <c r="C132" s="32" t="s">
        <v>110</v>
      </c>
      <c r="D132" s="40"/>
      <c r="E132" s="19"/>
      <c r="F132" s="19"/>
      <c r="G132" s="82">
        <f t="shared" ref="G132:K138" si="24">SUMIF($D$3:$D$127,$C132,G$3:G$127)</f>
        <v>21534</v>
      </c>
      <c r="H132" s="102">
        <f t="shared" si="24"/>
        <v>0</v>
      </c>
      <c r="I132" s="82">
        <f t="shared" si="24"/>
        <v>0</v>
      </c>
      <c r="J132" s="102">
        <f t="shared" si="24"/>
        <v>0</v>
      </c>
      <c r="K132" s="121">
        <f t="shared" si="24"/>
        <v>0</v>
      </c>
    </row>
    <row r="133" spans="1:17" x14ac:dyDescent="0.2">
      <c r="A133" s="1"/>
      <c r="C133" s="59" t="s">
        <v>111</v>
      </c>
      <c r="D133" s="39"/>
      <c r="E133" s="17"/>
      <c r="F133" s="17"/>
      <c r="G133" s="82">
        <f t="shared" si="24"/>
        <v>11321.999999999998</v>
      </c>
      <c r="H133" s="102">
        <f t="shared" si="24"/>
        <v>0</v>
      </c>
      <c r="I133" s="82">
        <f t="shared" si="24"/>
        <v>0</v>
      </c>
      <c r="J133" s="102">
        <f t="shared" si="24"/>
        <v>0</v>
      </c>
      <c r="K133" s="121">
        <f t="shared" si="24"/>
        <v>0</v>
      </c>
    </row>
    <row r="134" spans="1:17" x14ac:dyDescent="0.2">
      <c r="A134" s="1"/>
      <c r="C134" s="59" t="s">
        <v>112</v>
      </c>
      <c r="D134" s="39"/>
      <c r="E134" s="17"/>
      <c r="F134" s="17"/>
      <c r="G134" s="82">
        <f t="shared" si="24"/>
        <v>3316.5</v>
      </c>
      <c r="H134" s="102">
        <f t="shared" si="24"/>
        <v>0</v>
      </c>
      <c r="I134" s="82">
        <f t="shared" si="24"/>
        <v>0</v>
      </c>
      <c r="J134" s="102">
        <f t="shared" si="24"/>
        <v>0</v>
      </c>
      <c r="K134" s="121">
        <f t="shared" si="24"/>
        <v>0</v>
      </c>
    </row>
    <row r="135" spans="1:17" x14ac:dyDescent="0.2">
      <c r="A135" s="1"/>
      <c r="B135" s="1"/>
      <c r="C135" s="59" t="s">
        <v>113</v>
      </c>
      <c r="D135" s="39"/>
      <c r="E135" s="17"/>
      <c r="F135" s="17"/>
      <c r="G135" s="82">
        <f t="shared" si="24"/>
        <v>5328</v>
      </c>
      <c r="H135" s="102">
        <f t="shared" si="24"/>
        <v>0</v>
      </c>
      <c r="I135" s="82">
        <f t="shared" si="24"/>
        <v>0</v>
      </c>
      <c r="J135" s="102">
        <f t="shared" si="24"/>
        <v>0</v>
      </c>
      <c r="K135" s="121">
        <f t="shared" si="24"/>
        <v>0</v>
      </c>
    </row>
    <row r="136" spans="1:17" x14ac:dyDescent="0.2">
      <c r="A136" s="1"/>
      <c r="B136" s="1"/>
      <c r="C136" s="59" t="s">
        <v>49</v>
      </c>
      <c r="D136" s="39"/>
      <c r="E136" s="17"/>
      <c r="F136" s="17"/>
      <c r="G136" s="82">
        <f t="shared" si="24"/>
        <v>60817.5</v>
      </c>
      <c r="H136" s="102">
        <f t="shared" si="24"/>
        <v>0</v>
      </c>
      <c r="I136" s="82">
        <f t="shared" si="24"/>
        <v>0</v>
      </c>
      <c r="J136" s="102">
        <f t="shared" si="24"/>
        <v>0</v>
      </c>
      <c r="K136" s="121">
        <f t="shared" si="24"/>
        <v>0</v>
      </c>
    </row>
    <row r="137" spans="1:17" x14ac:dyDescent="0.2">
      <c r="A137" s="1"/>
      <c r="B137" s="1"/>
      <c r="C137" s="59" t="s">
        <v>303</v>
      </c>
      <c r="D137" s="39"/>
      <c r="E137" s="17"/>
      <c r="F137" s="17"/>
      <c r="G137" s="82">
        <f t="shared" si="24"/>
        <v>0</v>
      </c>
      <c r="H137" s="102">
        <f t="shared" ca="1" si="24"/>
        <v>0</v>
      </c>
      <c r="I137" s="82">
        <f t="shared" ca="1" si="24"/>
        <v>0</v>
      </c>
      <c r="J137" s="102">
        <f t="shared" ca="1" si="24"/>
        <v>0</v>
      </c>
      <c r="K137" s="121">
        <f t="shared" ca="1" si="24"/>
        <v>0</v>
      </c>
    </row>
    <row r="138" spans="1:17" x14ac:dyDescent="0.2">
      <c r="A138" s="1"/>
      <c r="B138" s="1"/>
      <c r="C138" s="59" t="s">
        <v>304</v>
      </c>
      <c r="D138" s="39"/>
      <c r="E138" s="17"/>
      <c r="F138" s="17"/>
      <c r="G138" s="82">
        <f t="shared" si="24"/>
        <v>0</v>
      </c>
      <c r="H138" s="102">
        <f t="shared" si="24"/>
        <v>0</v>
      </c>
      <c r="I138" s="82">
        <f t="shared" si="24"/>
        <v>0</v>
      </c>
      <c r="J138" s="102">
        <f t="shared" si="24"/>
        <v>0</v>
      </c>
      <c r="K138" s="121">
        <f t="shared" si="24"/>
        <v>0</v>
      </c>
    </row>
    <row r="139" spans="1:17" s="50" customFormat="1" x14ac:dyDescent="0.2">
      <c r="C139" s="159" t="s">
        <v>53</v>
      </c>
      <c r="D139" s="160"/>
      <c r="E139" s="161"/>
      <c r="F139" s="161"/>
      <c r="G139" s="162">
        <f>SUM(G132:G138)</f>
        <v>102318</v>
      </c>
      <c r="H139" s="163">
        <f t="shared" ref="H139:K139" ca="1" si="25">SUM(H132:H138)</f>
        <v>0</v>
      </c>
      <c r="I139" s="162">
        <f t="shared" ca="1" si="25"/>
        <v>0</v>
      </c>
      <c r="J139" s="163">
        <f t="shared" ca="1" si="25"/>
        <v>0</v>
      </c>
      <c r="K139" s="164">
        <f t="shared" ca="1" si="25"/>
        <v>0</v>
      </c>
    </row>
    <row r="140" spans="1:17" ht="13.5" thickBot="1" x14ac:dyDescent="0.25">
      <c r="A140" s="1"/>
      <c r="B140" s="1"/>
      <c r="C140" s="33" t="s">
        <v>96</v>
      </c>
      <c r="D140" s="41"/>
      <c r="E140" s="31"/>
      <c r="F140" s="31"/>
      <c r="G140" s="81">
        <f>SUMIF($D$3:$D$127,$C140,G$3:G$127)</f>
        <v>0</v>
      </c>
      <c r="H140" s="101">
        <f>SUMIF($D$3:$D$127,$C140,H$3:H$127)</f>
        <v>0</v>
      </c>
      <c r="I140" s="81">
        <f>SUMIF($D$3:$D$127,$C140,I$3:I$127)</f>
        <v>0</v>
      </c>
      <c r="J140" s="101">
        <f>SUMIF($D$3:$D$127,$C140,J$3:J$127)</f>
        <v>0</v>
      </c>
      <c r="K140" s="120">
        <f>SUMIF($D$3:$D$127,$C140,K$3:K$127)</f>
        <v>0</v>
      </c>
    </row>
    <row r="142" spans="1:17" ht="13.5" thickBot="1" x14ac:dyDescent="0.25">
      <c r="A142" s="1"/>
      <c r="B142" s="1"/>
    </row>
    <row r="143" spans="1:17" x14ac:dyDescent="0.2">
      <c r="A143" s="1"/>
      <c r="B143" s="1"/>
      <c r="C143" s="58" t="s">
        <v>114</v>
      </c>
      <c r="D143" s="42"/>
      <c r="E143" s="22"/>
      <c r="F143" s="22"/>
      <c r="G143" s="63"/>
      <c r="H143" s="63"/>
      <c r="I143" s="63"/>
      <c r="J143" s="63"/>
      <c r="K143" s="64"/>
    </row>
    <row r="144" spans="1:17" x14ac:dyDescent="0.2">
      <c r="A144" s="1"/>
      <c r="B144" s="1"/>
      <c r="C144" s="59" t="s">
        <v>54</v>
      </c>
      <c r="D144" s="39"/>
      <c r="E144" s="17"/>
      <c r="F144" s="17"/>
      <c r="G144" s="83">
        <f>G$130/((1+0.03)^G$2)</f>
        <v>99337.864077669903</v>
      </c>
      <c r="H144" s="103">
        <f ca="1">H$130/((1+0.03)^H$2)</f>
        <v>0</v>
      </c>
      <c r="I144" s="83">
        <f ca="1">I$130/((1+0.03)^I$2)</f>
        <v>0</v>
      </c>
      <c r="J144" s="103">
        <f ca="1">J$130/((1+0.03)^J$2)</f>
        <v>0</v>
      </c>
      <c r="K144" s="122">
        <f ca="1">K$130/((1+0.03)^K$2)</f>
        <v>0</v>
      </c>
    </row>
    <row r="145" spans="1:11" x14ac:dyDescent="0.2">
      <c r="A145" s="1"/>
      <c r="B145" s="1"/>
      <c r="C145" s="59" t="s">
        <v>55</v>
      </c>
      <c r="D145" s="39"/>
      <c r="E145" s="17"/>
      <c r="F145" s="17"/>
      <c r="G145" s="83">
        <f>G$130/((1+0.05)^G$2)</f>
        <v>97445.714285714275</v>
      </c>
      <c r="H145" s="103">
        <f ca="1">H$130/((1+0.05)^H$2)</f>
        <v>0</v>
      </c>
      <c r="I145" s="83">
        <f ca="1">I$130/((1+0.05)^I$2)</f>
        <v>0</v>
      </c>
      <c r="J145" s="103">
        <f ca="1">J$130/((1+0.05)^J$2)</f>
        <v>0</v>
      </c>
      <c r="K145" s="122">
        <f ca="1">K$130/((1+0.05)^K$2)</f>
        <v>0</v>
      </c>
    </row>
    <row r="146" spans="1:11" x14ac:dyDescent="0.2">
      <c r="A146" s="1"/>
      <c r="B146" s="1"/>
      <c r="C146" s="59" t="s">
        <v>56</v>
      </c>
      <c r="D146" s="39"/>
      <c r="E146" s="17"/>
      <c r="F146" s="17"/>
      <c r="G146" s="83">
        <f>G$130/((1+0.08)^G$2)</f>
        <v>94738.888888888876</v>
      </c>
      <c r="H146" s="103">
        <f ca="1">H$130/((1+0.08)^H$2)</f>
        <v>0</v>
      </c>
      <c r="I146" s="83">
        <f ca="1">I$130/((1+0.08)^I$2)</f>
        <v>0</v>
      </c>
      <c r="J146" s="103">
        <f ca="1">J$130/((1+0.08)^J$2)</f>
        <v>0</v>
      </c>
      <c r="K146" s="122">
        <f ca="1">K$130/((1+0.08)^K$2)</f>
        <v>0</v>
      </c>
    </row>
    <row r="147" spans="1:11" x14ac:dyDescent="0.2">
      <c r="A147" s="1"/>
      <c r="B147" s="1"/>
      <c r="C147" s="59" t="s">
        <v>57</v>
      </c>
      <c r="D147" s="39"/>
      <c r="E147" s="17"/>
      <c r="F147" s="17"/>
      <c r="G147" s="83">
        <f>G$130/((1+0.1)^G$2)</f>
        <v>93016.363636363632</v>
      </c>
      <c r="H147" s="103">
        <f ca="1">H$130/((1+0.1)^H$2)</f>
        <v>0</v>
      </c>
      <c r="I147" s="83">
        <f ca="1">I$130/((1+0.1)^I$2)</f>
        <v>0</v>
      </c>
      <c r="J147" s="103">
        <f ca="1">J$130/((1+0.1)^J$2)</f>
        <v>0</v>
      </c>
      <c r="K147" s="122">
        <f ca="1">K$130/((1+0.1)^K$2)</f>
        <v>0</v>
      </c>
    </row>
    <row r="148" spans="1:11" ht="13.5" thickBot="1" x14ac:dyDescent="0.25">
      <c r="A148" s="1"/>
      <c r="B148" s="1"/>
      <c r="C148" s="33" t="s">
        <v>58</v>
      </c>
      <c r="D148" s="41"/>
      <c r="E148" s="31"/>
      <c r="F148" s="31"/>
      <c r="G148" s="84">
        <f>G$130/((1+0.12)^G$2)</f>
        <v>91355.35714285713</v>
      </c>
      <c r="H148" s="104">
        <f ca="1">H$130/((1+0.12)^H$2)</f>
        <v>0</v>
      </c>
      <c r="I148" s="84">
        <f ca="1">I$130/((1+0.12)^I$2)</f>
        <v>0</v>
      </c>
      <c r="J148" s="104">
        <f ca="1">J$130/((1+0.12)^J$2)</f>
        <v>0</v>
      </c>
      <c r="K148" s="123">
        <f ca="1">K$130/((1+0.12)^K$2)</f>
        <v>0</v>
      </c>
    </row>
  </sheetData>
  <pageMargins left="0.7" right="0.7" top="0.75" bottom="0.75" header="0.3" footer="0.3"/>
  <pageSetup scale="46" fitToHeight="0" orientation="landscape" r:id="rId1"/>
  <ignoredErrors>
    <ignoredError sqref="G90 G95:G97 G102 G103:K103 H102:K102 H90:K95 G139:K139 G43:K43 G44 I44:K44" formula="1"/>
    <ignoredError sqref="H41:K41 G42" formulaRange="1"/>
    <ignoredError sqref="G45:K45 G41" formula="1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D3:D127</xm:sqref>
        </x14:dataValidation>
        <x14:dataValidation type="list" allowBlank="1" showInputMessage="1" showErrorMessage="1">
          <x14:formula1>
            <xm:f>'Validation Lists'!$C$2:$C$4</xm:f>
          </x14:formula1>
          <xm:sqref>F3:F127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23"/>
  <sheetViews>
    <sheetView zoomScale="70" zoomScaleNormal="70" workbookViewId="0"/>
  </sheetViews>
  <sheetFormatPr defaultRowHeight="12.75" x14ac:dyDescent="0.2"/>
  <cols>
    <col min="1" max="1" width="18.140625" style="50" customWidth="1"/>
    <col min="2" max="2" width="43.7109375" style="50" bestFit="1" customWidth="1"/>
    <col min="3" max="3" width="106" style="1" bestFit="1" customWidth="1"/>
    <col min="4" max="4" width="22.140625" style="37" customWidth="1"/>
    <col min="5" max="5" width="20.5703125" style="16" bestFit="1" customWidth="1"/>
    <col min="6" max="6" width="13.42578125" style="16" hidden="1" customWidth="1"/>
    <col min="7" max="7" width="16.5703125" style="1" bestFit="1" customWidth="1"/>
    <col min="8" max="9" width="17.140625" style="1" bestFit="1" customWidth="1"/>
    <col min="10" max="10" width="16.7109375" style="1" bestFit="1" customWidth="1"/>
    <col min="11" max="11" width="17.85546875" style="1" bestFit="1" customWidth="1"/>
    <col min="12" max="12" width="9.140625" style="1"/>
    <col min="13" max="13" width="14.28515625" style="1" bestFit="1" customWidth="1"/>
    <col min="14" max="16384" width="9.140625" style="1"/>
  </cols>
  <sheetData>
    <row r="1" spans="1:13" x14ac:dyDescent="0.2">
      <c r="A1" s="50" t="s">
        <v>456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3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3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3" ht="15" customHeight="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3" ht="15" customHeight="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3" ht="15" customHeight="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3" ht="15" customHeight="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3" ht="15" customHeight="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3" ht="15" customHeight="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  <c r="M9" s="221"/>
    </row>
    <row r="10" spans="1:13" ht="15" customHeight="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3" ht="15" customHeight="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3" ht="15" customHeight="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3" ht="15" customHeight="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3" ht="15.75" customHeight="1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3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3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21" t="s">
        <v>103</v>
      </c>
      <c r="D19" s="42" t="s">
        <v>98</v>
      </c>
      <c r="E19" s="22"/>
      <c r="F19" s="22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SUM(G47*G55,G48*G56,G49*G57,G50*G58,G51*G59,G52*G60,G53*G61,G54*G62)/52</f>
        <v>13.5</v>
      </c>
      <c r="H24" s="93">
        <f t="shared" ref="H24:K24" si="2">SUM(H47*H55,H48*H56,H49*H57,H50*H58,H51*H59,H52*H60,H53*H61,H54*H62)/52</f>
        <v>24</v>
      </c>
      <c r="I24" s="73">
        <f t="shared" si="2"/>
        <v>24</v>
      </c>
      <c r="J24" s="93">
        <f t="shared" si="2"/>
        <v>24</v>
      </c>
      <c r="K24" s="115">
        <f t="shared" si="2"/>
        <v>24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14</v>
      </c>
      <c r="H31" s="92">
        <f t="shared" ref="H31:K31" si="3">ROUND(H19,0)+ROUND(H20,0)+ROUND(H21,0)+ROUND(H22,0)+ROUND(H23,0)+ROUND(H24,0)+ROUND(H25,0)+ROUND(H26,0)+ROUND(H27,0)+ROUND(H28,0)+ROUND(H29,0)+ROUND(H30,0)</f>
        <v>24</v>
      </c>
      <c r="I31" s="71">
        <f t="shared" si="3"/>
        <v>24</v>
      </c>
      <c r="J31" s="92">
        <f t="shared" si="3"/>
        <v>24</v>
      </c>
      <c r="K31" s="114">
        <f t="shared" si="3"/>
        <v>24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v>0</v>
      </c>
      <c r="H32" s="90">
        <v>0</v>
      </c>
      <c r="I32" s="69">
        <v>0</v>
      </c>
      <c r="J32" s="90">
        <v>0</v>
      </c>
      <c r="K32" s="112"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G47+G48+G49+G50+G51+G52+G53+G54</f>
        <v>13.5</v>
      </c>
      <c r="H34" s="93">
        <f t="shared" ref="H34:K34" si="4">H47+H48+H49+H50+H51+H52+H53+H54</f>
        <v>24</v>
      </c>
      <c r="I34" s="73">
        <f t="shared" si="4"/>
        <v>24</v>
      </c>
      <c r="J34" s="93">
        <f t="shared" si="4"/>
        <v>24</v>
      </c>
      <c r="K34" s="115">
        <f t="shared" si="4"/>
        <v>24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v>0</v>
      </c>
      <c r="H38" s="93">
        <v>0</v>
      </c>
      <c r="I38" s="73">
        <v>0</v>
      </c>
      <c r="J38" s="93">
        <v>0</v>
      </c>
      <c r="K38" s="115"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5">H39</f>
        <v>0</v>
      </c>
      <c r="I40" s="73">
        <f t="shared" si="5"/>
        <v>0</v>
      </c>
      <c r="J40" s="93">
        <f t="shared" si="5"/>
        <v>0</v>
      </c>
      <c r="K40" s="115">
        <f t="shared" si="5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6">IF(H40-H39&gt;0,H40-H39,0)</f>
        <v>0</v>
      </c>
      <c r="I41" s="73">
        <f t="shared" si="6"/>
        <v>0</v>
      </c>
      <c r="J41" s="93">
        <f t="shared" si="6"/>
        <v>0</v>
      </c>
      <c r="K41" s="115">
        <f t="shared" si="6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7">H41</f>
        <v>0</v>
      </c>
      <c r="I42" s="73">
        <f t="shared" si="7"/>
        <v>0</v>
      </c>
      <c r="J42" s="93">
        <f t="shared" si="7"/>
        <v>0</v>
      </c>
      <c r="K42" s="115">
        <f t="shared" si="7"/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14</v>
      </c>
      <c r="H43" s="93">
        <f t="shared" ref="H43:K43" si="8">ROUND(H21,0)+ROUND(H22,0)+ROUND(H23,0)+ROUND(H24,0)+ROUND(H25,0)+ROUND(H26,0)-ROUND(H36,0)+ROUND(H19,0)+ROUND(H20,0)</f>
        <v>24</v>
      </c>
      <c r="I43" s="73">
        <f t="shared" si="8"/>
        <v>24</v>
      </c>
      <c r="J43" s="93">
        <f t="shared" si="8"/>
        <v>24</v>
      </c>
      <c r="K43" s="115">
        <f t="shared" si="8"/>
        <v>24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14</v>
      </c>
      <c r="H44" s="93">
        <f>IF(H43-G43&gt;0,H43-G43,0)</f>
        <v>10</v>
      </c>
      <c r="I44" s="73">
        <f t="shared" ref="I44:K44" si="9">IF(I43-H43&gt;0,I43-H43,0)</f>
        <v>0</v>
      </c>
      <c r="J44" s="93">
        <f t="shared" si="9"/>
        <v>0</v>
      </c>
      <c r="K44" s="115">
        <f t="shared" si="9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 t="shared" ref="H45:K45" si="10">ROUND(H27,0)+ROUND(H28,0)+ROUND(H29,0)+ROUND(H30,0)</f>
        <v>0</v>
      </c>
      <c r="I45" s="73">
        <f t="shared" si="10"/>
        <v>0</v>
      </c>
      <c r="J45" s="93">
        <f t="shared" si="10"/>
        <v>0</v>
      </c>
      <c r="K45" s="115">
        <f t="shared" si="10"/>
        <v>0</v>
      </c>
    </row>
    <row r="46" spans="1:11" ht="13.5" thickBot="1" x14ac:dyDescent="0.25">
      <c r="A46" s="150"/>
      <c r="B46" s="51"/>
      <c r="C46" s="30" t="s">
        <v>41</v>
      </c>
      <c r="D46" s="44" t="s">
        <v>98</v>
      </c>
      <c r="E46" s="18"/>
      <c r="F46" s="18" t="s">
        <v>98</v>
      </c>
      <c r="G46" s="145">
        <f>G45</f>
        <v>0</v>
      </c>
      <c r="H46" s="93">
        <f>IF(H45-G45&gt;0,H45-G45,0)</f>
        <v>0</v>
      </c>
      <c r="I46" s="73">
        <f t="shared" ref="I46" si="11">IF(I45-H45&gt;0,I45-H45,0)</f>
        <v>0</v>
      </c>
      <c r="J46" s="93">
        <f t="shared" ref="J46" si="12">IF(J45-I45&gt;0,J45-I45,0)</f>
        <v>0</v>
      </c>
      <c r="K46" s="115">
        <f t="shared" ref="K46" si="13">IF(K45-J45&gt;0,K45-J45,0)</f>
        <v>0</v>
      </c>
    </row>
    <row r="47" spans="1:11" x14ac:dyDescent="0.2">
      <c r="A47" s="48" t="s">
        <v>317</v>
      </c>
      <c r="B47" s="48" t="s">
        <v>318</v>
      </c>
      <c r="C47" s="21" t="s">
        <v>347</v>
      </c>
      <c r="D47" s="220" t="s">
        <v>98</v>
      </c>
      <c r="E47" s="22"/>
      <c r="F47" s="22" t="s">
        <v>98</v>
      </c>
      <c r="G47" s="69">
        <f>0.5</f>
        <v>0.5</v>
      </c>
      <c r="H47" s="90">
        <v>1</v>
      </c>
      <c r="I47" s="69">
        <v>1</v>
      </c>
      <c r="J47" s="90">
        <v>1</v>
      </c>
      <c r="K47" s="112">
        <v>1</v>
      </c>
    </row>
    <row r="48" spans="1:11" x14ac:dyDescent="0.2">
      <c r="A48" s="48"/>
      <c r="B48" s="48"/>
      <c r="C48" s="3" t="s">
        <v>349</v>
      </c>
      <c r="D48" s="39" t="s">
        <v>98</v>
      </c>
      <c r="E48" s="17"/>
      <c r="F48" s="17" t="s">
        <v>98</v>
      </c>
      <c r="G48" s="73">
        <f>0.5</f>
        <v>0.5</v>
      </c>
      <c r="H48" s="93">
        <v>1</v>
      </c>
      <c r="I48" s="73">
        <v>1</v>
      </c>
      <c r="J48" s="93">
        <v>1</v>
      </c>
      <c r="K48" s="115">
        <v>1</v>
      </c>
    </row>
    <row r="49" spans="1:13" x14ac:dyDescent="0.2">
      <c r="A49" s="48"/>
      <c r="B49" s="48"/>
      <c r="C49" s="3" t="s">
        <v>348</v>
      </c>
      <c r="D49" s="39" t="s">
        <v>98</v>
      </c>
      <c r="E49" s="17"/>
      <c r="F49" s="17" t="s">
        <v>98</v>
      </c>
      <c r="G49" s="73">
        <v>3</v>
      </c>
      <c r="H49" s="93">
        <v>5</v>
      </c>
      <c r="I49" s="73">
        <v>5</v>
      </c>
      <c r="J49" s="93">
        <v>5</v>
      </c>
      <c r="K49" s="115">
        <v>5</v>
      </c>
    </row>
    <row r="50" spans="1:13" x14ac:dyDescent="0.2">
      <c r="A50" s="48"/>
      <c r="B50" s="48"/>
      <c r="C50" s="3" t="s">
        <v>350</v>
      </c>
      <c r="D50" s="39" t="s">
        <v>98</v>
      </c>
      <c r="E50" s="17"/>
      <c r="F50" s="17" t="s">
        <v>98</v>
      </c>
      <c r="G50" s="73">
        <v>3</v>
      </c>
      <c r="H50" s="93">
        <v>6</v>
      </c>
      <c r="I50" s="73">
        <v>6</v>
      </c>
      <c r="J50" s="93">
        <v>6</v>
      </c>
      <c r="K50" s="115">
        <v>6</v>
      </c>
    </row>
    <row r="51" spans="1:13" x14ac:dyDescent="0.2">
      <c r="A51" s="48"/>
      <c r="B51" s="48"/>
      <c r="C51" s="3" t="s">
        <v>351</v>
      </c>
      <c r="D51" s="39" t="s">
        <v>98</v>
      </c>
      <c r="E51" s="17"/>
      <c r="F51" s="17" t="s">
        <v>98</v>
      </c>
      <c r="G51" s="73">
        <v>3</v>
      </c>
      <c r="H51" s="93">
        <v>5</v>
      </c>
      <c r="I51" s="73">
        <v>5</v>
      </c>
      <c r="J51" s="93">
        <v>5</v>
      </c>
      <c r="K51" s="115">
        <v>5</v>
      </c>
    </row>
    <row r="52" spans="1:13" x14ac:dyDescent="0.2">
      <c r="A52" s="48"/>
      <c r="B52" s="48"/>
      <c r="C52" s="3" t="s">
        <v>352</v>
      </c>
      <c r="D52" s="39" t="s">
        <v>98</v>
      </c>
      <c r="E52" s="17"/>
      <c r="F52" s="17" t="s">
        <v>98</v>
      </c>
      <c r="G52" s="73">
        <f>0.5</f>
        <v>0.5</v>
      </c>
      <c r="H52" s="93">
        <v>1</v>
      </c>
      <c r="I52" s="73">
        <v>1</v>
      </c>
      <c r="J52" s="93">
        <v>1</v>
      </c>
      <c r="K52" s="115">
        <v>1</v>
      </c>
    </row>
    <row r="53" spans="1:13" x14ac:dyDescent="0.2">
      <c r="A53" s="48"/>
      <c r="B53" s="48"/>
      <c r="C53" s="3" t="s">
        <v>353</v>
      </c>
      <c r="D53" s="39" t="s">
        <v>98</v>
      </c>
      <c r="E53" s="17"/>
      <c r="F53" s="17" t="s">
        <v>98</v>
      </c>
      <c r="G53" s="73">
        <v>2</v>
      </c>
      <c r="H53" s="93">
        <v>2</v>
      </c>
      <c r="I53" s="73">
        <v>2</v>
      </c>
      <c r="J53" s="93">
        <v>2</v>
      </c>
      <c r="K53" s="115">
        <v>2</v>
      </c>
    </row>
    <row r="54" spans="1:13" ht="13.5" thickBot="1" x14ac:dyDescent="0.25">
      <c r="A54" s="48"/>
      <c r="B54" s="48"/>
      <c r="C54" s="3" t="s">
        <v>354</v>
      </c>
      <c r="D54" s="39" t="s">
        <v>98</v>
      </c>
      <c r="E54" s="17"/>
      <c r="F54" s="17" t="s">
        <v>98</v>
      </c>
      <c r="G54" s="73">
        <v>1</v>
      </c>
      <c r="H54" s="93">
        <v>3</v>
      </c>
      <c r="I54" s="73">
        <v>3</v>
      </c>
      <c r="J54" s="93">
        <v>3</v>
      </c>
      <c r="K54" s="115">
        <v>3</v>
      </c>
    </row>
    <row r="55" spans="1:13" x14ac:dyDescent="0.2">
      <c r="A55" s="169" t="s">
        <v>320</v>
      </c>
      <c r="B55" s="169" t="s">
        <v>318</v>
      </c>
      <c r="C55" s="21" t="s">
        <v>347</v>
      </c>
      <c r="D55" s="42" t="s">
        <v>98</v>
      </c>
      <c r="E55" s="22"/>
      <c r="F55" s="22" t="s">
        <v>98</v>
      </c>
      <c r="G55" s="69">
        <v>52</v>
      </c>
      <c r="H55" s="90">
        <v>52</v>
      </c>
      <c r="I55" s="69">
        <v>52</v>
      </c>
      <c r="J55" s="90">
        <v>52</v>
      </c>
      <c r="K55" s="112">
        <v>52</v>
      </c>
    </row>
    <row r="56" spans="1:13" x14ac:dyDescent="0.2">
      <c r="A56" s="48"/>
      <c r="B56" s="48"/>
      <c r="C56" s="3" t="s">
        <v>349</v>
      </c>
      <c r="D56" s="39" t="s">
        <v>98</v>
      </c>
      <c r="E56" s="17"/>
      <c r="F56" s="17" t="s">
        <v>98</v>
      </c>
      <c r="G56" s="73">
        <v>52</v>
      </c>
      <c r="H56" s="93">
        <v>52</v>
      </c>
      <c r="I56" s="73">
        <v>52</v>
      </c>
      <c r="J56" s="93">
        <v>52</v>
      </c>
      <c r="K56" s="115">
        <v>52</v>
      </c>
    </row>
    <row r="57" spans="1:13" x14ac:dyDescent="0.2">
      <c r="A57" s="48"/>
      <c r="B57" s="48"/>
      <c r="C57" s="3" t="s">
        <v>348</v>
      </c>
      <c r="D57" s="39" t="s">
        <v>98</v>
      </c>
      <c r="E57" s="17"/>
      <c r="F57" s="17" t="s">
        <v>98</v>
      </c>
      <c r="G57" s="73">
        <v>52</v>
      </c>
      <c r="H57" s="93">
        <v>52</v>
      </c>
      <c r="I57" s="73">
        <v>52</v>
      </c>
      <c r="J57" s="93">
        <v>52</v>
      </c>
      <c r="K57" s="115">
        <v>52</v>
      </c>
    </row>
    <row r="58" spans="1:13" x14ac:dyDescent="0.2">
      <c r="A58" s="48"/>
      <c r="B58" s="48"/>
      <c r="C58" s="3" t="s">
        <v>350</v>
      </c>
      <c r="D58" s="39" t="s">
        <v>98</v>
      </c>
      <c r="E58" s="17"/>
      <c r="F58" s="17" t="s">
        <v>98</v>
      </c>
      <c r="G58" s="73">
        <v>52</v>
      </c>
      <c r="H58" s="93">
        <v>52</v>
      </c>
      <c r="I58" s="73">
        <v>52</v>
      </c>
      <c r="J58" s="93">
        <v>52</v>
      </c>
      <c r="K58" s="115">
        <v>52</v>
      </c>
      <c r="M58" s="222"/>
    </row>
    <row r="59" spans="1:13" x14ac:dyDescent="0.2">
      <c r="A59" s="48"/>
      <c r="B59" s="48"/>
      <c r="C59" s="3" t="s">
        <v>351</v>
      </c>
      <c r="D59" s="39" t="s">
        <v>98</v>
      </c>
      <c r="E59" s="17"/>
      <c r="F59" s="17" t="s">
        <v>98</v>
      </c>
      <c r="G59" s="73">
        <v>52</v>
      </c>
      <c r="H59" s="93">
        <v>52</v>
      </c>
      <c r="I59" s="73">
        <v>52</v>
      </c>
      <c r="J59" s="93">
        <v>52</v>
      </c>
      <c r="K59" s="115">
        <v>52</v>
      </c>
    </row>
    <row r="60" spans="1:13" x14ac:dyDescent="0.2">
      <c r="A60" s="48"/>
      <c r="B60" s="48"/>
      <c r="C60" s="3" t="s">
        <v>352</v>
      </c>
      <c r="D60" s="39" t="s">
        <v>98</v>
      </c>
      <c r="E60" s="17"/>
      <c r="F60" s="17" t="s">
        <v>98</v>
      </c>
      <c r="G60" s="73">
        <v>52</v>
      </c>
      <c r="H60" s="93">
        <v>52</v>
      </c>
      <c r="I60" s="73">
        <v>52</v>
      </c>
      <c r="J60" s="93">
        <v>52</v>
      </c>
      <c r="K60" s="115">
        <v>52</v>
      </c>
    </row>
    <row r="61" spans="1:13" x14ac:dyDescent="0.2">
      <c r="A61" s="48"/>
      <c r="B61" s="48"/>
      <c r="C61" s="3" t="s">
        <v>353</v>
      </c>
      <c r="D61" s="39" t="s">
        <v>98</v>
      </c>
      <c r="E61" s="17"/>
      <c r="F61" s="17" t="s">
        <v>98</v>
      </c>
      <c r="G61" s="73">
        <v>52</v>
      </c>
      <c r="H61" s="93">
        <v>52</v>
      </c>
      <c r="I61" s="73">
        <v>52</v>
      </c>
      <c r="J61" s="93">
        <v>52</v>
      </c>
      <c r="K61" s="115">
        <v>52</v>
      </c>
    </row>
    <row r="62" spans="1:13" ht="13.5" thickBot="1" x14ac:dyDescent="0.25">
      <c r="A62" s="48"/>
      <c r="B62" s="48"/>
      <c r="C62" s="3" t="s">
        <v>354</v>
      </c>
      <c r="D62" s="39" t="s">
        <v>98</v>
      </c>
      <c r="E62" s="17"/>
      <c r="F62" s="17" t="s">
        <v>98</v>
      </c>
      <c r="G62" s="73">
        <v>52</v>
      </c>
      <c r="H62" s="93">
        <v>52</v>
      </c>
      <c r="I62" s="73">
        <v>52</v>
      </c>
      <c r="J62" s="93">
        <v>52</v>
      </c>
      <c r="K62" s="115">
        <v>52</v>
      </c>
    </row>
    <row r="63" spans="1:13" x14ac:dyDescent="0.2">
      <c r="A63" s="169" t="s">
        <v>321</v>
      </c>
      <c r="B63" s="169" t="s">
        <v>318</v>
      </c>
      <c r="C63" s="21" t="s">
        <v>347</v>
      </c>
      <c r="D63" s="42" t="s">
        <v>98</v>
      </c>
      <c r="E63" s="22"/>
      <c r="F63" s="22" t="s">
        <v>29</v>
      </c>
      <c r="G63" s="74">
        <f t="shared" ref="G63:G70" si="14">G55*G47*$G$8</f>
        <v>49140</v>
      </c>
      <c r="H63" s="94">
        <f>H55*H47*$H$8</f>
        <v>99754.2</v>
      </c>
      <c r="I63" s="74">
        <f>I55*I47*$I$8</f>
        <v>101250.51299999999</v>
      </c>
      <c r="J63" s="94">
        <f>J55*J47*$J$8</f>
        <v>102769.27069499998</v>
      </c>
      <c r="K63" s="116">
        <f>K55*K47*$K$8</f>
        <v>104310.80975542497</v>
      </c>
    </row>
    <row r="64" spans="1:13" x14ac:dyDescent="0.2">
      <c r="A64" s="48"/>
      <c r="B64" s="48"/>
      <c r="C64" s="3" t="s">
        <v>349</v>
      </c>
      <c r="D64" s="39" t="s">
        <v>98</v>
      </c>
      <c r="E64" s="17"/>
      <c r="F64" s="17" t="s">
        <v>29</v>
      </c>
      <c r="G64" s="75">
        <f t="shared" si="14"/>
        <v>49140</v>
      </c>
      <c r="H64" s="95">
        <f t="shared" ref="H64:H70" si="15">H56*H48*$H$8</f>
        <v>99754.2</v>
      </c>
      <c r="I64" s="75">
        <f>I56*I48*$I$8</f>
        <v>101250.51299999999</v>
      </c>
      <c r="J64" s="95">
        <f>J56*J48*$J$8</f>
        <v>102769.27069499998</v>
      </c>
      <c r="K64" s="117">
        <f>K56*K48*$K$8</f>
        <v>104310.80975542497</v>
      </c>
    </row>
    <row r="65" spans="1:13" x14ac:dyDescent="0.2">
      <c r="A65" s="48"/>
      <c r="B65" s="48"/>
      <c r="C65" s="3" t="s">
        <v>348</v>
      </c>
      <c r="D65" s="39" t="s">
        <v>98</v>
      </c>
      <c r="E65" s="17"/>
      <c r="F65" s="17" t="s">
        <v>29</v>
      </c>
      <c r="G65" s="75">
        <f t="shared" si="14"/>
        <v>294840</v>
      </c>
      <c r="H65" s="95">
        <f t="shared" si="15"/>
        <v>498771</v>
      </c>
      <c r="I65" s="75">
        <f t="shared" ref="I65:I70" si="16">I57*I49*$I$8</f>
        <v>506252.56499999994</v>
      </c>
      <c r="J65" s="95">
        <f t="shared" ref="J65:J70" si="17">J57*J49*$J$8</f>
        <v>513846.35347499989</v>
      </c>
      <c r="K65" s="117">
        <f t="shared" ref="K65:K70" si="18">K57*K49*$K$8</f>
        <v>521554.04877712484</v>
      </c>
    </row>
    <row r="66" spans="1:13" x14ac:dyDescent="0.2">
      <c r="A66" s="48"/>
      <c r="B66" s="48"/>
      <c r="C66" s="3" t="s">
        <v>350</v>
      </c>
      <c r="D66" s="39" t="s">
        <v>98</v>
      </c>
      <c r="E66" s="17"/>
      <c r="F66" s="17" t="s">
        <v>29</v>
      </c>
      <c r="G66" s="75">
        <f t="shared" si="14"/>
        <v>294840</v>
      </c>
      <c r="H66" s="95">
        <f t="shared" si="15"/>
        <v>598525.19999999995</v>
      </c>
      <c r="I66" s="75">
        <f t="shared" si="16"/>
        <v>607503.07799999998</v>
      </c>
      <c r="J66" s="95">
        <f t="shared" si="17"/>
        <v>616615.62416999985</v>
      </c>
      <c r="K66" s="117">
        <f t="shared" si="18"/>
        <v>625864.85853254981</v>
      </c>
    </row>
    <row r="67" spans="1:13" x14ac:dyDescent="0.2">
      <c r="A67" s="48"/>
      <c r="B67" s="48"/>
      <c r="C67" s="3" t="s">
        <v>351</v>
      </c>
      <c r="D67" s="39" t="s">
        <v>98</v>
      </c>
      <c r="E67" s="17"/>
      <c r="F67" s="17" t="s">
        <v>29</v>
      </c>
      <c r="G67" s="75">
        <f t="shared" si="14"/>
        <v>294840</v>
      </c>
      <c r="H67" s="95">
        <f t="shared" si="15"/>
        <v>498771</v>
      </c>
      <c r="I67" s="75">
        <f t="shared" si="16"/>
        <v>506252.56499999994</v>
      </c>
      <c r="J67" s="95">
        <f t="shared" si="17"/>
        <v>513846.35347499989</v>
      </c>
      <c r="K67" s="117">
        <f t="shared" si="18"/>
        <v>521554.04877712484</v>
      </c>
    </row>
    <row r="68" spans="1:13" x14ac:dyDescent="0.2">
      <c r="A68" s="48"/>
      <c r="B68" s="48"/>
      <c r="C68" s="3" t="s">
        <v>352</v>
      </c>
      <c r="D68" s="39" t="s">
        <v>98</v>
      </c>
      <c r="E68" s="17"/>
      <c r="F68" s="17" t="s">
        <v>29</v>
      </c>
      <c r="G68" s="75">
        <f t="shared" si="14"/>
        <v>49140</v>
      </c>
      <c r="H68" s="95">
        <f t="shared" si="15"/>
        <v>99754.2</v>
      </c>
      <c r="I68" s="75">
        <f t="shared" si="16"/>
        <v>101250.51299999999</v>
      </c>
      <c r="J68" s="95">
        <f t="shared" si="17"/>
        <v>102769.27069499998</v>
      </c>
      <c r="K68" s="117">
        <f t="shared" si="18"/>
        <v>104310.80975542497</v>
      </c>
    </row>
    <row r="69" spans="1:13" x14ac:dyDescent="0.2">
      <c r="A69" s="48"/>
      <c r="B69" s="48"/>
      <c r="C69" s="3" t="s">
        <v>353</v>
      </c>
      <c r="D69" s="39" t="s">
        <v>98</v>
      </c>
      <c r="E69" s="17"/>
      <c r="F69" s="17" t="s">
        <v>29</v>
      </c>
      <c r="G69" s="75">
        <f t="shared" si="14"/>
        <v>196560</v>
      </c>
      <c r="H69" s="95">
        <f t="shared" si="15"/>
        <v>199508.4</v>
      </c>
      <c r="I69" s="75">
        <f t="shared" si="16"/>
        <v>202501.02599999998</v>
      </c>
      <c r="J69" s="95">
        <f t="shared" si="17"/>
        <v>205538.54138999997</v>
      </c>
      <c r="K69" s="117">
        <f t="shared" si="18"/>
        <v>208621.61951084994</v>
      </c>
    </row>
    <row r="70" spans="1:13" x14ac:dyDescent="0.2">
      <c r="A70" s="48"/>
      <c r="B70" s="48"/>
      <c r="C70" s="3" t="s">
        <v>354</v>
      </c>
      <c r="D70" s="39" t="s">
        <v>98</v>
      </c>
      <c r="E70" s="17"/>
      <c r="F70" s="17" t="s">
        <v>29</v>
      </c>
      <c r="G70" s="75">
        <f t="shared" si="14"/>
        <v>98280</v>
      </c>
      <c r="H70" s="95">
        <f t="shared" si="15"/>
        <v>299262.59999999998</v>
      </c>
      <c r="I70" s="75">
        <f t="shared" si="16"/>
        <v>303751.53899999999</v>
      </c>
      <c r="J70" s="95">
        <f t="shared" si="17"/>
        <v>308307.81208499992</v>
      </c>
      <c r="K70" s="117">
        <f t="shared" si="18"/>
        <v>312932.42926627491</v>
      </c>
    </row>
    <row r="71" spans="1:13" x14ac:dyDescent="0.2">
      <c r="A71" s="48"/>
      <c r="B71" s="48"/>
      <c r="C71" s="3" t="s">
        <v>347</v>
      </c>
      <c r="D71" s="39" t="s">
        <v>112</v>
      </c>
      <c r="E71" s="17"/>
      <c r="F71" s="17" t="s">
        <v>29</v>
      </c>
      <c r="G71" s="75">
        <f>G63</f>
        <v>49140</v>
      </c>
      <c r="H71" s="95">
        <f t="shared" ref="H71:K71" si="19">H63</f>
        <v>99754.2</v>
      </c>
      <c r="I71" s="75">
        <f t="shared" si="19"/>
        <v>101250.51299999999</v>
      </c>
      <c r="J71" s="95">
        <f t="shared" si="19"/>
        <v>102769.27069499998</v>
      </c>
      <c r="K71" s="117">
        <f t="shared" si="19"/>
        <v>104310.80975542497</v>
      </c>
    </row>
    <row r="72" spans="1:13" x14ac:dyDescent="0.2">
      <c r="A72" s="48"/>
      <c r="B72" s="48"/>
      <c r="C72" s="3" t="s">
        <v>349</v>
      </c>
      <c r="D72" s="39" t="s">
        <v>112</v>
      </c>
      <c r="E72" s="17"/>
      <c r="F72" s="17" t="s">
        <v>29</v>
      </c>
      <c r="G72" s="75">
        <f t="shared" ref="G72:K78" si="20">G64</f>
        <v>49140</v>
      </c>
      <c r="H72" s="95">
        <f t="shared" si="20"/>
        <v>99754.2</v>
      </c>
      <c r="I72" s="75">
        <f t="shared" si="20"/>
        <v>101250.51299999999</v>
      </c>
      <c r="J72" s="95">
        <f t="shared" si="20"/>
        <v>102769.27069499998</v>
      </c>
      <c r="K72" s="117">
        <f t="shared" si="20"/>
        <v>104310.80975542497</v>
      </c>
    </row>
    <row r="73" spans="1:13" x14ac:dyDescent="0.2">
      <c r="A73" s="48"/>
      <c r="B73" s="48"/>
      <c r="C73" s="3" t="s">
        <v>348</v>
      </c>
      <c r="D73" s="39" t="s">
        <v>112</v>
      </c>
      <c r="E73" s="17"/>
      <c r="F73" s="17" t="s">
        <v>98</v>
      </c>
      <c r="G73" s="75">
        <f t="shared" si="20"/>
        <v>294840</v>
      </c>
      <c r="H73" s="95">
        <f t="shared" si="20"/>
        <v>498771</v>
      </c>
      <c r="I73" s="75">
        <f t="shared" si="20"/>
        <v>506252.56499999994</v>
      </c>
      <c r="J73" s="95">
        <f t="shared" si="20"/>
        <v>513846.35347499989</v>
      </c>
      <c r="K73" s="117">
        <f t="shared" si="20"/>
        <v>521554.04877712484</v>
      </c>
    </row>
    <row r="74" spans="1:13" x14ac:dyDescent="0.2">
      <c r="A74" s="48"/>
      <c r="B74" s="48"/>
      <c r="C74" s="3" t="s">
        <v>350</v>
      </c>
      <c r="D74" s="39" t="s">
        <v>112</v>
      </c>
      <c r="E74" s="17"/>
      <c r="F74" s="17" t="s">
        <v>98</v>
      </c>
      <c r="G74" s="75">
        <f t="shared" si="20"/>
        <v>294840</v>
      </c>
      <c r="H74" s="95">
        <f t="shared" si="20"/>
        <v>598525.19999999995</v>
      </c>
      <c r="I74" s="75">
        <f t="shared" si="20"/>
        <v>607503.07799999998</v>
      </c>
      <c r="J74" s="95">
        <f t="shared" si="20"/>
        <v>616615.62416999985</v>
      </c>
      <c r="K74" s="117">
        <f t="shared" si="20"/>
        <v>625864.85853254981</v>
      </c>
    </row>
    <row r="75" spans="1:13" x14ac:dyDescent="0.2">
      <c r="A75" s="48"/>
      <c r="B75" s="48"/>
      <c r="C75" s="3" t="s">
        <v>351</v>
      </c>
      <c r="D75" s="39" t="s">
        <v>112</v>
      </c>
      <c r="E75" s="17"/>
      <c r="F75" s="17" t="s">
        <v>98</v>
      </c>
      <c r="G75" s="75">
        <f t="shared" si="20"/>
        <v>294840</v>
      </c>
      <c r="H75" s="95">
        <f t="shared" si="20"/>
        <v>498771</v>
      </c>
      <c r="I75" s="75">
        <f t="shared" si="20"/>
        <v>506252.56499999994</v>
      </c>
      <c r="J75" s="95">
        <f t="shared" si="20"/>
        <v>513846.35347499989</v>
      </c>
      <c r="K75" s="117">
        <f t="shared" si="20"/>
        <v>521554.04877712484</v>
      </c>
    </row>
    <row r="76" spans="1:13" x14ac:dyDescent="0.2">
      <c r="A76" s="48"/>
      <c r="B76" s="48"/>
      <c r="C76" s="3" t="s">
        <v>352</v>
      </c>
      <c r="D76" s="39" t="s">
        <v>112</v>
      </c>
      <c r="E76" s="17"/>
      <c r="F76" s="17" t="s">
        <v>98</v>
      </c>
      <c r="G76" s="75">
        <f t="shared" si="20"/>
        <v>49140</v>
      </c>
      <c r="H76" s="95">
        <f t="shared" si="20"/>
        <v>99754.2</v>
      </c>
      <c r="I76" s="75">
        <f t="shared" si="20"/>
        <v>101250.51299999999</v>
      </c>
      <c r="J76" s="95">
        <f t="shared" si="20"/>
        <v>102769.27069499998</v>
      </c>
      <c r="K76" s="117">
        <f t="shared" si="20"/>
        <v>104310.80975542497</v>
      </c>
    </row>
    <row r="77" spans="1:13" x14ac:dyDescent="0.2">
      <c r="A77" s="48"/>
      <c r="B77" s="48"/>
      <c r="C77" s="3" t="s">
        <v>353</v>
      </c>
      <c r="D77" s="39" t="s">
        <v>112</v>
      </c>
      <c r="E77" s="17"/>
      <c r="F77" s="17" t="s">
        <v>98</v>
      </c>
      <c r="G77" s="75">
        <f t="shared" si="20"/>
        <v>196560</v>
      </c>
      <c r="H77" s="95">
        <f t="shared" si="20"/>
        <v>199508.4</v>
      </c>
      <c r="I77" s="75">
        <f t="shared" si="20"/>
        <v>202501.02599999998</v>
      </c>
      <c r="J77" s="95">
        <f t="shared" si="20"/>
        <v>205538.54138999997</v>
      </c>
      <c r="K77" s="117">
        <f t="shared" si="20"/>
        <v>208621.61951084994</v>
      </c>
      <c r="M77" s="222"/>
    </row>
    <row r="78" spans="1:13" x14ac:dyDescent="0.2">
      <c r="A78" s="48"/>
      <c r="B78" s="48"/>
      <c r="C78" s="3" t="s">
        <v>354</v>
      </c>
      <c r="D78" s="39" t="s">
        <v>112</v>
      </c>
      <c r="E78" s="17"/>
      <c r="F78" s="17" t="s">
        <v>98</v>
      </c>
      <c r="G78" s="75">
        <f t="shared" si="20"/>
        <v>98280</v>
      </c>
      <c r="H78" s="95">
        <f t="shared" si="20"/>
        <v>299262.59999999998</v>
      </c>
      <c r="I78" s="75">
        <f t="shared" si="20"/>
        <v>303751.53899999999</v>
      </c>
      <c r="J78" s="95">
        <f t="shared" si="20"/>
        <v>308307.81208499992</v>
      </c>
      <c r="K78" s="117">
        <f t="shared" si="20"/>
        <v>312932.42926627491</v>
      </c>
    </row>
    <row r="79" spans="1:13" s="50" customFormat="1" ht="13.5" thickBot="1" x14ac:dyDescent="0.25">
      <c r="A79" s="150"/>
      <c r="B79" s="51"/>
      <c r="C79" s="52" t="s">
        <v>48</v>
      </c>
      <c r="D79" s="53" t="s">
        <v>98</v>
      </c>
      <c r="E79" s="54"/>
      <c r="F79" s="54" t="s">
        <v>98</v>
      </c>
      <c r="G79" s="55">
        <f>SUM(G71:G78)</f>
        <v>1326780</v>
      </c>
      <c r="H79" s="55">
        <f t="shared" ref="H79:K79" si="21">SUM(H71:H78)</f>
        <v>2394100.7999999998</v>
      </c>
      <c r="I79" s="55">
        <f t="shared" si="21"/>
        <v>2430012.3119999995</v>
      </c>
      <c r="J79" s="55">
        <f t="shared" si="21"/>
        <v>2466462.4966799994</v>
      </c>
      <c r="K79" s="56">
        <f t="shared" si="21"/>
        <v>2503459.4341301993</v>
      </c>
    </row>
    <row r="80" spans="1:13" x14ac:dyDescent="0.2">
      <c r="B80" s="169" t="s">
        <v>322</v>
      </c>
      <c r="C80" s="21" t="s">
        <v>42</v>
      </c>
      <c r="D80" s="38" t="s">
        <v>304</v>
      </c>
      <c r="E80" s="22"/>
      <c r="F80" s="22" t="s">
        <v>29</v>
      </c>
      <c r="G80" s="77">
        <v>300000</v>
      </c>
      <c r="H80" s="97">
        <v>100000</v>
      </c>
      <c r="I80" s="77">
        <v>100000</v>
      </c>
      <c r="J80" s="97">
        <v>100000</v>
      </c>
      <c r="K80" s="124">
        <v>100000</v>
      </c>
    </row>
    <row r="81" spans="1:17" x14ac:dyDescent="0.2">
      <c r="B81" s="48"/>
      <c r="C81" s="3" t="s">
        <v>44</v>
      </c>
      <c r="D81" s="39" t="s">
        <v>303</v>
      </c>
      <c r="E81" s="17"/>
      <c r="F81" s="17" t="s">
        <v>29</v>
      </c>
      <c r="G81" s="78">
        <f>(G41*(G17+G18))+(G42*G16)+(G43*(G17+G18))+(G44*G16)+(G45*G17)+(G46*G16)</f>
        <v>146118</v>
      </c>
      <c r="H81" s="98">
        <f>(H41*(H17+H18))+(H42*H16)+(H43*(H17+H18))+(H44*H16)+(H45*H17)+(H46*H16)</f>
        <v>195216.97999999998</v>
      </c>
      <c r="I81" s="78">
        <f>(I41*(I17+I18))+(I42*I16)+(I43*(I17+I18))+(I44*I16)+(I45*I17)+(I46*I16)</f>
        <v>155349.68819999998</v>
      </c>
      <c r="J81" s="98">
        <f>(J41*(J17+J18))+(J42*J16)+(J43*(J17+J18))+(J44*J16)+(J45*J17)+(J46*J16)</f>
        <v>157679.93352299996</v>
      </c>
      <c r="K81" s="118">
        <f>(K41*(K17+K18))+(K42*K16)+(K43*(K17+K18))+(K44*K16)+(K45*K17)+(K46*K16)</f>
        <v>160045.13252584494</v>
      </c>
    </row>
    <row r="82" spans="1:17" x14ac:dyDescent="0.2">
      <c r="B82" s="48"/>
      <c r="C82" s="14" t="s">
        <v>45</v>
      </c>
      <c r="D82" s="149" t="s">
        <v>304</v>
      </c>
      <c r="E82" s="25"/>
      <c r="F82" s="25" t="s">
        <v>29</v>
      </c>
      <c r="G82" s="78">
        <v>50000</v>
      </c>
      <c r="H82" s="98">
        <v>10000</v>
      </c>
      <c r="I82" s="78">
        <v>10000</v>
      </c>
      <c r="J82" s="98">
        <v>10000</v>
      </c>
      <c r="K82" s="118">
        <v>10000</v>
      </c>
    </row>
    <row r="83" spans="1:17" x14ac:dyDescent="0.2">
      <c r="B83" s="48"/>
      <c r="C83" s="14" t="s">
        <v>46</v>
      </c>
      <c r="D83" s="149" t="s">
        <v>304</v>
      </c>
      <c r="E83" s="25"/>
      <c r="F83" s="25" t="s">
        <v>29</v>
      </c>
      <c r="G83" s="78">
        <v>0</v>
      </c>
      <c r="H83" s="98">
        <v>0</v>
      </c>
      <c r="I83" s="78">
        <v>0</v>
      </c>
      <c r="J83" s="98">
        <v>0</v>
      </c>
      <c r="K83" s="118">
        <v>0</v>
      </c>
    </row>
    <row r="84" spans="1:17" x14ac:dyDescent="0.2">
      <c r="B84" s="48"/>
      <c r="C84" s="151" t="s">
        <v>47</v>
      </c>
      <c r="D84" s="148" t="s">
        <v>304</v>
      </c>
      <c r="E84" s="152"/>
      <c r="F84" s="25" t="s">
        <v>29</v>
      </c>
      <c r="G84" s="79">
        <v>0</v>
      </c>
      <c r="H84" s="100">
        <v>0</v>
      </c>
      <c r="I84" s="79">
        <v>0</v>
      </c>
      <c r="J84" s="100">
        <v>0</v>
      </c>
      <c r="K84" s="119">
        <v>0</v>
      </c>
    </row>
    <row r="85" spans="1:17" s="50" customFormat="1" ht="13.5" thickBot="1" x14ac:dyDescent="0.25">
      <c r="B85" s="51"/>
      <c r="C85" s="52" t="s">
        <v>48</v>
      </c>
      <c r="D85" s="57" t="s">
        <v>98</v>
      </c>
      <c r="E85" s="54"/>
      <c r="F85" s="54" t="s">
        <v>98</v>
      </c>
      <c r="G85" s="61">
        <f>SUM(G80:G84)</f>
        <v>496118</v>
      </c>
      <c r="H85" s="61">
        <f t="shared" ref="H85:K85" si="22">SUM(H80:H84)</f>
        <v>305216.98</v>
      </c>
      <c r="I85" s="61">
        <f t="shared" si="22"/>
        <v>265349.68819999998</v>
      </c>
      <c r="J85" s="61">
        <f t="shared" si="22"/>
        <v>267679.93352299999</v>
      </c>
      <c r="K85" s="62">
        <f t="shared" si="22"/>
        <v>270045.13252584497</v>
      </c>
    </row>
    <row r="86" spans="1:17" x14ac:dyDescent="0.2">
      <c r="B86" s="169" t="s">
        <v>323</v>
      </c>
      <c r="C86" s="35" t="s">
        <v>50</v>
      </c>
      <c r="D86" s="42" t="s">
        <v>96</v>
      </c>
      <c r="E86" s="22"/>
      <c r="F86" s="22" t="s">
        <v>29</v>
      </c>
      <c r="G86" s="80">
        <v>0</v>
      </c>
      <c r="H86" s="99">
        <f>G80*0.2</f>
        <v>60000</v>
      </c>
      <c r="I86" s="80">
        <f>(G80+H80)*0.2</f>
        <v>80000</v>
      </c>
      <c r="J86" s="99">
        <f>(G80+H80+I80)*0.2</f>
        <v>100000</v>
      </c>
      <c r="K86" s="125">
        <f>(G80+H80+I80+J80)*0.2</f>
        <v>120000</v>
      </c>
    </row>
    <row r="87" spans="1:17" x14ac:dyDescent="0.2">
      <c r="B87" s="48"/>
      <c r="C87" s="14" t="s">
        <v>76</v>
      </c>
      <c r="D87" s="39" t="s">
        <v>96</v>
      </c>
      <c r="E87" s="17"/>
      <c r="F87" s="17" t="s">
        <v>29</v>
      </c>
      <c r="G87" s="78">
        <v>0</v>
      </c>
      <c r="H87" s="98">
        <v>0</v>
      </c>
      <c r="I87" s="78">
        <v>0</v>
      </c>
      <c r="J87" s="98">
        <v>0</v>
      </c>
      <c r="K87" s="118">
        <v>0</v>
      </c>
    </row>
    <row r="88" spans="1:17" x14ac:dyDescent="0.2">
      <c r="B88" s="48"/>
      <c r="C88" s="14" t="s">
        <v>51</v>
      </c>
      <c r="D88" s="39" t="s">
        <v>96</v>
      </c>
      <c r="E88" s="17"/>
      <c r="F88" s="17" t="s">
        <v>29</v>
      </c>
      <c r="G88" s="78">
        <v>0</v>
      </c>
      <c r="H88" s="98">
        <v>0</v>
      </c>
      <c r="I88" s="78">
        <v>0</v>
      </c>
      <c r="J88" s="98">
        <v>0</v>
      </c>
      <c r="K88" s="118">
        <v>0</v>
      </c>
    </row>
    <row r="89" spans="1:17" x14ac:dyDescent="0.2">
      <c r="B89" s="48"/>
      <c r="C89" s="14" t="s">
        <v>52</v>
      </c>
      <c r="D89" s="39" t="s">
        <v>96</v>
      </c>
      <c r="E89" s="17"/>
      <c r="F89" s="17" t="s">
        <v>29</v>
      </c>
      <c r="G89" s="78">
        <v>0</v>
      </c>
      <c r="H89" s="98">
        <f>G82*0.2</f>
        <v>10000</v>
      </c>
      <c r="I89" s="78">
        <f>(G82+H82)*0.2</f>
        <v>12000</v>
      </c>
      <c r="J89" s="98">
        <f>(G82+H82+I82)*0.2</f>
        <v>14000</v>
      </c>
      <c r="K89" s="118">
        <f>(G82+H82+I82+J82)*0.2</f>
        <v>16000</v>
      </c>
    </row>
    <row r="90" spans="1:17" s="50" customFormat="1" ht="13.5" thickBot="1" x14ac:dyDescent="0.25">
      <c r="B90" s="51"/>
      <c r="C90" s="52" t="s">
        <v>48</v>
      </c>
      <c r="D90" s="53" t="s">
        <v>98</v>
      </c>
      <c r="E90" s="54"/>
      <c r="F90" s="54" t="s">
        <v>98</v>
      </c>
      <c r="G90" s="61">
        <f>SUM(G86:G89)</f>
        <v>0</v>
      </c>
      <c r="H90" s="61">
        <f>SUM(H86:H89)</f>
        <v>70000</v>
      </c>
      <c r="I90" s="61">
        <f>SUM(I86:I89)</f>
        <v>92000</v>
      </c>
      <c r="J90" s="61">
        <f>SUM(J86:J89)</f>
        <v>114000</v>
      </c>
      <c r="K90" s="62">
        <f>SUM(K86:K89)</f>
        <v>136000</v>
      </c>
    </row>
    <row r="92" spans="1:17" ht="13.5" thickBot="1" x14ac:dyDescent="0.25"/>
    <row r="93" spans="1:17" s="50" customFormat="1" x14ac:dyDescent="0.2">
      <c r="C93" s="126" t="s">
        <v>120</v>
      </c>
      <c r="D93" s="127"/>
      <c r="E93" s="128"/>
      <c r="F93" s="129"/>
      <c r="G93" s="134">
        <f>SUM(G79+G85+G90)</f>
        <v>1822898</v>
      </c>
      <c r="H93" s="134">
        <f>SUM(H79+H85+H90)</f>
        <v>2769317.78</v>
      </c>
      <c r="I93" s="134">
        <f>SUM(I79+I85+I90)</f>
        <v>2787362.0001999997</v>
      </c>
      <c r="J93" s="134">
        <f>SUM(J79+J85+J90)</f>
        <v>2848142.4302029992</v>
      </c>
      <c r="K93" s="135">
        <f>SUM(K79+K85+K90)</f>
        <v>2909504.5666560442</v>
      </c>
      <c r="M93" s="1"/>
      <c r="N93" s="1"/>
      <c r="O93" s="1"/>
      <c r="P93" s="1"/>
      <c r="Q93" s="1"/>
    </row>
    <row r="94" spans="1:17" ht="13.5" thickBot="1" x14ac:dyDescent="0.25">
      <c r="A94" s="1"/>
      <c r="B94" s="1"/>
      <c r="C94" s="130" t="s">
        <v>121</v>
      </c>
      <c r="D94" s="131"/>
      <c r="E94" s="132"/>
      <c r="F94" s="133"/>
      <c r="G94" s="136">
        <f>G93</f>
        <v>1822898</v>
      </c>
      <c r="H94" s="136">
        <f>G94+H93</f>
        <v>4592215.7799999993</v>
      </c>
      <c r="I94" s="136">
        <f>H94+I93</f>
        <v>7379577.780199999</v>
      </c>
      <c r="J94" s="136">
        <f>I94+J93</f>
        <v>10227720.210402999</v>
      </c>
      <c r="K94" s="137">
        <f>J94+K93</f>
        <v>13137224.777059043</v>
      </c>
    </row>
    <row r="95" spans="1:17" x14ac:dyDescent="0.2">
      <c r="A95" s="1"/>
      <c r="B95" s="1"/>
      <c r="C95" s="32" t="s">
        <v>110</v>
      </c>
      <c r="D95" s="40"/>
      <c r="E95" s="19"/>
      <c r="F95" s="19"/>
      <c r="G95" s="82">
        <f t="shared" ref="G95:K101" si="23">SUMIF($D$3:$D$90,$C95,G$3:G$90)</f>
        <v>0</v>
      </c>
      <c r="H95" s="102">
        <f t="shared" si="23"/>
        <v>0</v>
      </c>
      <c r="I95" s="82">
        <f t="shared" si="23"/>
        <v>0</v>
      </c>
      <c r="J95" s="102">
        <f t="shared" si="23"/>
        <v>0</v>
      </c>
      <c r="K95" s="121">
        <f t="shared" si="23"/>
        <v>0</v>
      </c>
    </row>
    <row r="96" spans="1:17" x14ac:dyDescent="0.2">
      <c r="A96" s="1"/>
      <c r="B96" s="1"/>
      <c r="C96" s="59" t="s">
        <v>111</v>
      </c>
      <c r="D96" s="39"/>
      <c r="E96" s="17"/>
      <c r="F96" s="17"/>
      <c r="G96" s="82">
        <f t="shared" si="23"/>
        <v>0</v>
      </c>
      <c r="H96" s="102">
        <f t="shared" si="23"/>
        <v>0</v>
      </c>
      <c r="I96" s="82">
        <f t="shared" si="23"/>
        <v>0</v>
      </c>
      <c r="J96" s="102">
        <f t="shared" si="23"/>
        <v>0</v>
      </c>
      <c r="K96" s="121">
        <f t="shared" si="23"/>
        <v>0</v>
      </c>
    </row>
    <row r="97" spans="1:11" x14ac:dyDescent="0.2">
      <c r="A97" s="1"/>
      <c r="B97" s="1"/>
      <c r="C97" s="59" t="s">
        <v>112</v>
      </c>
      <c r="D97" s="39"/>
      <c r="E97" s="17"/>
      <c r="F97" s="17"/>
      <c r="G97" s="82">
        <f t="shared" si="23"/>
        <v>1326780</v>
      </c>
      <c r="H97" s="102">
        <f t="shared" si="23"/>
        <v>2394100.7999999998</v>
      </c>
      <c r="I97" s="82">
        <f t="shared" si="23"/>
        <v>2430012.3119999995</v>
      </c>
      <c r="J97" s="102">
        <f t="shared" si="23"/>
        <v>2466462.4966799994</v>
      </c>
      <c r="K97" s="121">
        <f t="shared" si="23"/>
        <v>2503459.4341301993</v>
      </c>
    </row>
    <row r="98" spans="1:11" x14ac:dyDescent="0.2">
      <c r="A98" s="1"/>
      <c r="B98" s="1"/>
      <c r="C98" s="59" t="s">
        <v>245</v>
      </c>
      <c r="D98" s="39"/>
      <c r="E98" s="17"/>
      <c r="F98" s="17"/>
      <c r="G98" s="82">
        <f t="shared" si="23"/>
        <v>0</v>
      </c>
      <c r="H98" s="102">
        <f t="shared" si="23"/>
        <v>0</v>
      </c>
      <c r="I98" s="82">
        <f t="shared" si="23"/>
        <v>0</v>
      </c>
      <c r="J98" s="102">
        <f t="shared" si="23"/>
        <v>0</v>
      </c>
      <c r="K98" s="121">
        <f t="shared" si="23"/>
        <v>0</v>
      </c>
    </row>
    <row r="99" spans="1:11" x14ac:dyDescent="0.2">
      <c r="A99" s="1"/>
      <c r="B99" s="1"/>
      <c r="C99" s="59" t="s">
        <v>49</v>
      </c>
      <c r="D99" s="39"/>
      <c r="E99" s="17"/>
      <c r="F99" s="17"/>
      <c r="G99" s="82">
        <f t="shared" si="23"/>
        <v>0</v>
      </c>
      <c r="H99" s="102">
        <f t="shared" si="23"/>
        <v>0</v>
      </c>
      <c r="I99" s="82">
        <f t="shared" si="23"/>
        <v>0</v>
      </c>
      <c r="J99" s="102">
        <f t="shared" si="23"/>
        <v>0</v>
      </c>
      <c r="K99" s="121">
        <f t="shared" si="23"/>
        <v>0</v>
      </c>
    </row>
    <row r="100" spans="1:11" x14ac:dyDescent="0.2">
      <c r="A100" s="1"/>
      <c r="B100" s="1"/>
      <c r="C100" s="59" t="s">
        <v>303</v>
      </c>
      <c r="D100" s="39"/>
      <c r="E100" s="17"/>
      <c r="F100" s="17"/>
      <c r="G100" s="82">
        <f t="shared" si="23"/>
        <v>146118</v>
      </c>
      <c r="H100" s="102">
        <f t="shared" si="23"/>
        <v>195216.97999999998</v>
      </c>
      <c r="I100" s="82">
        <f t="shared" si="23"/>
        <v>155349.68819999998</v>
      </c>
      <c r="J100" s="102">
        <f t="shared" si="23"/>
        <v>157679.93352299996</v>
      </c>
      <c r="K100" s="121">
        <f t="shared" si="23"/>
        <v>160045.13252584494</v>
      </c>
    </row>
    <row r="101" spans="1:11" x14ac:dyDescent="0.2">
      <c r="A101" s="1"/>
      <c r="B101" s="1"/>
      <c r="C101" s="59" t="s">
        <v>304</v>
      </c>
      <c r="D101" s="39"/>
      <c r="E101" s="17"/>
      <c r="F101" s="17"/>
      <c r="G101" s="82">
        <f t="shared" si="23"/>
        <v>350000</v>
      </c>
      <c r="H101" s="102">
        <f t="shared" si="23"/>
        <v>110000</v>
      </c>
      <c r="I101" s="82">
        <f t="shared" si="23"/>
        <v>110000</v>
      </c>
      <c r="J101" s="102">
        <f t="shared" si="23"/>
        <v>110000</v>
      </c>
      <c r="K101" s="121">
        <f t="shared" si="23"/>
        <v>110000</v>
      </c>
    </row>
    <row r="102" spans="1:11" s="50" customFormat="1" x14ac:dyDescent="0.2">
      <c r="C102" s="159" t="s">
        <v>53</v>
      </c>
      <c r="D102" s="160"/>
      <c r="E102" s="161"/>
      <c r="F102" s="161"/>
      <c r="G102" s="162">
        <f>SUM(G95:G101)</f>
        <v>1822898</v>
      </c>
      <c r="H102" s="163">
        <f>SUM(H95:H101)</f>
        <v>2699317.78</v>
      </c>
      <c r="I102" s="162">
        <f t="shared" ref="I102:K102" si="24">SUM(I95:I101)</f>
        <v>2695362.0001999997</v>
      </c>
      <c r="J102" s="163">
        <f t="shared" si="24"/>
        <v>2734142.4302029992</v>
      </c>
      <c r="K102" s="164">
        <f t="shared" si="24"/>
        <v>2773504.5666560442</v>
      </c>
    </row>
    <row r="103" spans="1:11" ht="13.5" thickBot="1" x14ac:dyDescent="0.25">
      <c r="A103" s="1"/>
      <c r="B103" s="1"/>
      <c r="C103" s="33" t="s">
        <v>96</v>
      </c>
      <c r="D103" s="41"/>
      <c r="E103" s="31"/>
      <c r="F103" s="31"/>
      <c r="G103" s="81">
        <f>SUMIF($D$3:$D$90,$C103,G$3:G$90)</f>
        <v>0</v>
      </c>
      <c r="H103" s="101">
        <f>SUMIF($D$3:$D$90,$C103,H$3:H$90)</f>
        <v>70000</v>
      </c>
      <c r="I103" s="81">
        <f>SUMIF($D$3:$D$90,$C103,I$3:I$90)</f>
        <v>92000</v>
      </c>
      <c r="J103" s="101">
        <f>SUMIF($D$3:$D$90,$C103,J$3:J$90)</f>
        <v>114000</v>
      </c>
      <c r="K103" s="120">
        <f>SUMIF($D$3:$D$90,$C103,K$3:K$90)</f>
        <v>136000</v>
      </c>
    </row>
    <row r="104" spans="1:11" x14ac:dyDescent="0.2">
      <c r="A104" s="1"/>
      <c r="B104" s="1"/>
      <c r="G104" s="60"/>
      <c r="H104" s="60"/>
      <c r="I104" s="60"/>
      <c r="J104" s="60"/>
      <c r="K104" s="60"/>
    </row>
    <row r="105" spans="1:11" ht="13.5" thickBot="1" x14ac:dyDescent="0.25">
      <c r="A105" s="1"/>
      <c r="B105" s="1"/>
      <c r="G105" s="60"/>
      <c r="H105" s="60"/>
      <c r="I105" s="60"/>
      <c r="J105" s="60"/>
      <c r="K105" s="60"/>
    </row>
    <row r="106" spans="1:11" x14ac:dyDescent="0.2">
      <c r="A106" s="1"/>
      <c r="B106" s="1"/>
      <c r="C106" s="58" t="s">
        <v>114</v>
      </c>
      <c r="D106" s="42"/>
      <c r="E106" s="22"/>
      <c r="F106" s="22"/>
      <c r="G106" s="63"/>
      <c r="H106" s="63"/>
      <c r="I106" s="63"/>
      <c r="J106" s="63"/>
      <c r="K106" s="64"/>
    </row>
    <row r="107" spans="1:11" x14ac:dyDescent="0.2">
      <c r="A107" s="1"/>
      <c r="B107" s="1"/>
      <c r="C107" s="59" t="s">
        <v>54</v>
      </c>
      <c r="D107" s="39"/>
      <c r="E107" s="17"/>
      <c r="F107" s="17"/>
      <c r="G107" s="83">
        <f>G$93/((1+0.03)^G$2)</f>
        <v>1769803.8834951455</v>
      </c>
      <c r="H107" s="103">
        <f>H$93/((1+0.03)^H$2)</f>
        <v>2610347.6105193701</v>
      </c>
      <c r="I107" s="83">
        <f>I$93/((1+0.03)^I$2)</f>
        <v>2550831.0860809698</v>
      </c>
      <c r="J107" s="103">
        <f>J$93/((1+0.03)^J$2)</f>
        <v>2530537.6598544791</v>
      </c>
      <c r="K107" s="122">
        <f>K$93/((1+0.03)^K$2)</f>
        <v>2509764.1974033443</v>
      </c>
    </row>
    <row r="108" spans="1:11" x14ac:dyDescent="0.2">
      <c r="A108" s="1"/>
      <c r="B108" s="1"/>
      <c r="C108" s="59" t="s">
        <v>55</v>
      </c>
      <c r="D108" s="39"/>
      <c r="E108" s="17"/>
      <c r="F108" s="17"/>
      <c r="G108" s="83">
        <f>G$93/((1+0.05)^G$2)</f>
        <v>1736093.3333333333</v>
      </c>
      <c r="H108" s="103">
        <f>H$93/((1+0.05)^H$2)</f>
        <v>2511852.8616780043</v>
      </c>
      <c r="I108" s="83">
        <f>I$93/((1+0.05)^I$2)</f>
        <v>2407828.0964906593</v>
      </c>
      <c r="J108" s="103">
        <f>J$93/((1+0.05)^J$2)</f>
        <v>2343173.8258877723</v>
      </c>
      <c r="K108" s="122">
        <f>K$93/((1+0.05)^K$2)</f>
        <v>2279672.9594344851</v>
      </c>
    </row>
    <row r="109" spans="1:11" x14ac:dyDescent="0.2">
      <c r="A109" s="1"/>
      <c r="B109" s="1"/>
      <c r="C109" s="59" t="s">
        <v>56</v>
      </c>
      <c r="D109" s="39"/>
      <c r="E109" s="17"/>
      <c r="F109" s="17"/>
      <c r="G109" s="83">
        <f>G$93/((1+0.08)^G$2)</f>
        <v>1687868.5185185184</v>
      </c>
      <c r="H109" s="103">
        <f>H$93/((1+0.08)^H$2)</f>
        <v>2374243.6385459532</v>
      </c>
      <c r="I109" s="83">
        <f>I$93/((1+0.08)^I$2)</f>
        <v>2212697.823153228</v>
      </c>
      <c r="J109" s="103">
        <f>J$93/((1+0.08)^J$2)</f>
        <v>2093469.7112154432</v>
      </c>
      <c r="K109" s="122">
        <f>K$93/((1+0.08)^K$2)</f>
        <v>1980159.9197590747</v>
      </c>
    </row>
    <row r="110" spans="1:11" x14ac:dyDescent="0.2">
      <c r="A110" s="1"/>
      <c r="B110" s="1"/>
      <c r="C110" s="59" t="s">
        <v>57</v>
      </c>
      <c r="D110" s="39"/>
      <c r="E110" s="17"/>
      <c r="F110" s="17"/>
      <c r="G110" s="83">
        <f>G$93/((1+0.1)^G$2)</f>
        <v>1657179.9999999998</v>
      </c>
      <c r="H110" s="103">
        <f>H$93/((1+0.1)^H$2)</f>
        <v>2288692.3801652887</v>
      </c>
      <c r="I110" s="83">
        <f>I$93/((1+0.1)^I$2)</f>
        <v>2094186.3262208856</v>
      </c>
      <c r="J110" s="103">
        <f>J$93/((1+0.1)^J$2)</f>
        <v>1945319.6026248196</v>
      </c>
      <c r="K110" s="122">
        <f>K$93/((1+0.1)^K$2)</f>
        <v>1806573.4249747242</v>
      </c>
    </row>
    <row r="111" spans="1:11" ht="13.5" thickBot="1" x14ac:dyDescent="0.25">
      <c r="A111" s="1"/>
      <c r="B111" s="1"/>
      <c r="C111" s="33" t="s">
        <v>58</v>
      </c>
      <c r="D111" s="41"/>
      <c r="E111" s="31"/>
      <c r="F111" s="31"/>
      <c r="G111" s="84">
        <f>G$93/((1+0.12)^G$2)</f>
        <v>1627587.4999999998</v>
      </c>
      <c r="H111" s="104">
        <f>H$93/((1+0.12)^H$2)</f>
        <v>2207683.179209183</v>
      </c>
      <c r="I111" s="84">
        <f>I$93/((1+0.12)^I$2)</f>
        <v>1983989.2152480404</v>
      </c>
      <c r="J111" s="104">
        <f>J$93/((1+0.12)^J$2)</f>
        <v>1810046.004265876</v>
      </c>
      <c r="K111" s="123">
        <f>K$93/((1+0.12)^K$2)</f>
        <v>1650931.0279565449</v>
      </c>
    </row>
    <row r="112" spans="1:11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x14ac:dyDescent="0.2">
      <c r="A115" s="1"/>
      <c r="B115" s="1"/>
    </row>
    <row r="116" spans="1:2" x14ac:dyDescent="0.2">
      <c r="A116" s="1"/>
      <c r="B116" s="1"/>
    </row>
    <row r="117" spans="1:2" x14ac:dyDescent="0.2">
      <c r="A117" s="1"/>
      <c r="B117" s="1"/>
    </row>
    <row r="118" spans="1:2" x14ac:dyDescent="0.2">
      <c r="A118" s="1"/>
      <c r="B118" s="1"/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</sheetData>
  <pageMargins left="0.7" right="0.7" top="0.75" bottom="0.75" header="0.3" footer="0.3"/>
  <pageSetup scale="41" fitToHeight="0" orientation="landscape" r:id="rId1"/>
  <ignoredErrors>
    <ignoredError sqref="G41:K42 H45:K45 G45:G46 G43 H43:K43 G102:K102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F3:F90</xm:sqref>
        </x14:dataValidation>
        <x14:dataValidation type="list" allowBlank="1" showInputMessage="1" showErrorMessage="1">
          <x14:formula1>
            <xm:f>'Validation Lists'!$A$2:$A$12</xm:f>
          </x14:formula1>
          <xm:sqref>D3:D90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0" zoomScaleNormal="80" workbookViewId="0"/>
  </sheetViews>
  <sheetFormatPr defaultRowHeight="12.75" x14ac:dyDescent="0.2"/>
  <cols>
    <col min="1" max="1" width="46.7109375" style="1" bestFit="1" customWidth="1"/>
    <col min="2" max="2" width="12" style="1" bestFit="1" customWidth="1"/>
    <col min="3" max="3" width="12.28515625" style="1" bestFit="1" customWidth="1"/>
    <col min="4" max="4" width="55.85546875" style="5" customWidth="1"/>
    <col min="5" max="5" width="9.140625" style="1"/>
    <col min="6" max="6" width="11.5703125" style="1" bestFit="1" customWidth="1"/>
    <col min="7" max="16384" width="9.140625" style="1"/>
  </cols>
  <sheetData>
    <row r="1" spans="1:4" x14ac:dyDescent="0.2">
      <c r="A1" s="196" t="s">
        <v>0</v>
      </c>
      <c r="B1" s="199"/>
    </row>
    <row r="2" spans="1:4" x14ac:dyDescent="0.2">
      <c r="A2" s="2" t="s">
        <v>1</v>
      </c>
      <c r="B2" s="2" t="s">
        <v>2</v>
      </c>
    </row>
    <row r="3" spans="1:4" x14ac:dyDescent="0.2">
      <c r="A3" s="3" t="s">
        <v>3</v>
      </c>
      <c r="B3" s="3">
        <v>2080</v>
      </c>
    </row>
    <row r="4" spans="1:4" x14ac:dyDescent="0.2">
      <c r="A4" s="3" t="s">
        <v>4</v>
      </c>
      <c r="B4" s="3">
        <v>40</v>
      </c>
    </row>
    <row r="5" spans="1:4" x14ac:dyDescent="0.2">
      <c r="A5" s="3" t="s">
        <v>5</v>
      </c>
      <c r="B5" s="3">
        <v>52</v>
      </c>
    </row>
    <row r="6" spans="1:4" x14ac:dyDescent="0.2">
      <c r="A6" s="14" t="s">
        <v>6</v>
      </c>
      <c r="B6" s="238">
        <f>1/32</f>
        <v>3.125E-2</v>
      </c>
    </row>
    <row r="7" spans="1:4" x14ac:dyDescent="0.2">
      <c r="A7" s="14" t="s">
        <v>7</v>
      </c>
      <c r="B7" s="3">
        <f>1/8</f>
        <v>0.125</v>
      </c>
    </row>
    <row r="8" spans="1:4" x14ac:dyDescent="0.2">
      <c r="A8" s="3" t="s">
        <v>8</v>
      </c>
      <c r="B8" s="4">
        <v>1.4999999999999999E-2</v>
      </c>
    </row>
    <row r="9" spans="1:4" x14ac:dyDescent="0.2">
      <c r="A9" s="3" t="s">
        <v>72</v>
      </c>
      <c r="B9" s="7">
        <v>10093</v>
      </c>
    </row>
    <row r="10" spans="1:4" x14ac:dyDescent="0.2">
      <c r="A10" s="3" t="s">
        <v>73</v>
      </c>
      <c r="B10" s="7">
        <v>4154</v>
      </c>
    </row>
    <row r="11" spans="1:4" x14ac:dyDescent="0.2">
      <c r="A11" s="3" t="s">
        <v>74</v>
      </c>
      <c r="B11" s="7">
        <v>5939</v>
      </c>
    </row>
    <row r="12" spans="1:4" x14ac:dyDescent="0.2">
      <c r="A12" s="3" t="s">
        <v>75</v>
      </c>
      <c r="B12" s="7">
        <v>344</v>
      </c>
    </row>
    <row r="14" spans="1:4" x14ac:dyDescent="0.2">
      <c r="A14" s="196" t="s">
        <v>9</v>
      </c>
      <c r="B14" s="197"/>
      <c r="C14" s="197"/>
      <c r="D14" s="198"/>
    </row>
    <row r="15" spans="1:4" x14ac:dyDescent="0.2">
      <c r="A15" s="2" t="s">
        <v>10</v>
      </c>
      <c r="B15" s="2" t="s">
        <v>11</v>
      </c>
      <c r="C15" s="2" t="s">
        <v>12</v>
      </c>
      <c r="D15" s="6" t="s">
        <v>13</v>
      </c>
    </row>
    <row r="16" spans="1:4" x14ac:dyDescent="0.2">
      <c r="A16" s="14" t="s">
        <v>90</v>
      </c>
      <c r="B16" s="10">
        <v>44.4</v>
      </c>
      <c r="C16" s="10">
        <f>B16*B4</f>
        <v>1776</v>
      </c>
      <c r="D16" s="15" t="s">
        <v>118</v>
      </c>
    </row>
    <row r="17" spans="1:5" x14ac:dyDescent="0.2">
      <c r="A17" s="14" t="s">
        <v>89</v>
      </c>
      <c r="B17" s="10">
        <v>44.4</v>
      </c>
      <c r="C17" s="10">
        <f>B17*B4</f>
        <v>1776</v>
      </c>
      <c r="D17" s="15" t="s">
        <v>118</v>
      </c>
    </row>
    <row r="18" spans="1:5" x14ac:dyDescent="0.2">
      <c r="A18" s="14" t="s">
        <v>17</v>
      </c>
      <c r="B18" s="7">
        <v>44.4</v>
      </c>
      <c r="C18" s="7">
        <f>B18*B4</f>
        <v>1776</v>
      </c>
      <c r="D18" s="15" t="s">
        <v>118</v>
      </c>
    </row>
    <row r="19" spans="1:5" x14ac:dyDescent="0.2">
      <c r="A19" s="14" t="s">
        <v>18</v>
      </c>
      <c r="B19" s="7">
        <v>47.12</v>
      </c>
      <c r="C19" s="7">
        <f>B19*B4</f>
        <v>1884.8</v>
      </c>
      <c r="D19" s="15" t="s">
        <v>119</v>
      </c>
    </row>
    <row r="20" spans="1:5" x14ac:dyDescent="0.2">
      <c r="A20" s="14" t="s">
        <v>452</v>
      </c>
      <c r="B20" s="7">
        <f>100000/2080</f>
        <v>48.07692307692308</v>
      </c>
      <c r="C20" s="7">
        <f>B20*B4</f>
        <v>1923.0769230769233</v>
      </c>
      <c r="D20" s="15" t="s">
        <v>396</v>
      </c>
    </row>
    <row r="21" spans="1:5" x14ac:dyDescent="0.2">
      <c r="A21" s="14" t="s">
        <v>19</v>
      </c>
      <c r="B21" s="7">
        <v>44.4</v>
      </c>
      <c r="C21" s="9">
        <f>B21*B4</f>
        <v>1776</v>
      </c>
      <c r="D21" s="8" t="s">
        <v>340</v>
      </c>
    </row>
    <row r="22" spans="1:5" x14ac:dyDescent="0.2">
      <c r="A22" s="14" t="s">
        <v>20</v>
      </c>
      <c r="B22" s="7">
        <v>47.25</v>
      </c>
      <c r="C22" s="9">
        <f>B22*B4</f>
        <v>1890</v>
      </c>
      <c r="D22" s="8" t="s">
        <v>345</v>
      </c>
      <c r="E22" s="5"/>
    </row>
    <row r="23" spans="1:5" x14ac:dyDescent="0.2">
      <c r="A23" s="14" t="s">
        <v>21</v>
      </c>
      <c r="B23" s="7">
        <v>44.4</v>
      </c>
      <c r="C23" s="9">
        <f>B23*B4</f>
        <v>1776</v>
      </c>
      <c r="D23" s="8" t="s">
        <v>340</v>
      </c>
      <c r="E23" s="5"/>
    </row>
    <row r="24" spans="1:5" x14ac:dyDescent="0.2">
      <c r="A24" s="14" t="s">
        <v>22</v>
      </c>
      <c r="B24" s="10">
        <v>47.12</v>
      </c>
      <c r="C24" s="9">
        <f>B24*B4</f>
        <v>1884.8</v>
      </c>
      <c r="D24" s="8" t="s">
        <v>341</v>
      </c>
    </row>
    <row r="25" spans="1:5" ht="38.25" x14ac:dyDescent="0.2">
      <c r="A25" s="14" t="s">
        <v>14</v>
      </c>
      <c r="B25" s="7">
        <v>180</v>
      </c>
      <c r="C25" s="9">
        <f>B25*B4</f>
        <v>7200</v>
      </c>
      <c r="D25" s="8" t="s">
        <v>342</v>
      </c>
    </row>
    <row r="26" spans="1:5" x14ac:dyDescent="0.2">
      <c r="A26" s="14" t="s">
        <v>15</v>
      </c>
      <c r="B26" s="7">
        <v>225</v>
      </c>
      <c r="C26" s="9">
        <f>B26*B4</f>
        <v>9000</v>
      </c>
      <c r="D26" s="8" t="s">
        <v>343</v>
      </c>
    </row>
    <row r="27" spans="1:5" x14ac:dyDescent="0.2">
      <c r="A27" s="14" t="s">
        <v>16</v>
      </c>
      <c r="B27" s="7">
        <v>275</v>
      </c>
      <c r="C27" s="9">
        <f>B27*B4</f>
        <v>11000</v>
      </c>
      <c r="D27" s="8" t="s">
        <v>344</v>
      </c>
    </row>
    <row r="28" spans="1:5" x14ac:dyDescent="0.2">
      <c r="A28" s="14" t="s">
        <v>91</v>
      </c>
      <c r="B28" s="7">
        <v>110</v>
      </c>
      <c r="C28" s="9">
        <f>B28*B4</f>
        <v>4400</v>
      </c>
      <c r="D28" s="8" t="s">
        <v>344</v>
      </c>
    </row>
  </sheetData>
  <pageMargins left="0.7" right="0.7" top="0.75" bottom="0.75" header="0.3" footer="0.3"/>
  <pageSetup scale="7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="80" zoomScaleNormal="80" workbookViewId="0"/>
  </sheetViews>
  <sheetFormatPr defaultRowHeight="12.75" x14ac:dyDescent="0.2"/>
  <cols>
    <col min="1" max="1" width="31.7109375" style="1" customWidth="1"/>
    <col min="2" max="16384" width="9.140625" style="1"/>
  </cols>
  <sheetData>
    <row r="1" spans="1:3" x14ac:dyDescent="0.2">
      <c r="A1" s="177" t="s">
        <v>67</v>
      </c>
      <c r="C1" s="177" t="s">
        <v>97</v>
      </c>
    </row>
    <row r="2" spans="1:3" x14ac:dyDescent="0.2">
      <c r="A2" s="3" t="s">
        <v>110</v>
      </c>
      <c r="C2" s="3" t="s">
        <v>29</v>
      </c>
    </row>
    <row r="3" spans="1:3" x14ac:dyDescent="0.2">
      <c r="A3" s="3" t="s">
        <v>111</v>
      </c>
      <c r="C3" s="3" t="s">
        <v>28</v>
      </c>
    </row>
    <row r="4" spans="1:3" x14ac:dyDescent="0.2">
      <c r="A4" s="3" t="s">
        <v>112</v>
      </c>
      <c r="C4" s="3" t="s">
        <v>98</v>
      </c>
    </row>
    <row r="5" spans="1:3" x14ac:dyDescent="0.2">
      <c r="A5" s="3" t="s">
        <v>113</v>
      </c>
    </row>
    <row r="6" spans="1:3" x14ac:dyDescent="0.2">
      <c r="A6" s="3" t="s">
        <v>49</v>
      </c>
    </row>
    <row r="7" spans="1:3" x14ac:dyDescent="0.2">
      <c r="A7" s="3" t="s">
        <v>303</v>
      </c>
    </row>
    <row r="8" spans="1:3" x14ac:dyDescent="0.2">
      <c r="A8" s="3" t="s">
        <v>304</v>
      </c>
    </row>
    <row r="9" spans="1:3" x14ac:dyDescent="0.2">
      <c r="A9" s="3" t="s">
        <v>245</v>
      </c>
    </row>
    <row r="10" spans="1:3" x14ac:dyDescent="0.2">
      <c r="A10" s="3" t="s">
        <v>95</v>
      </c>
    </row>
    <row r="11" spans="1:3" x14ac:dyDescent="0.2">
      <c r="A11" s="3" t="s">
        <v>96</v>
      </c>
    </row>
    <row r="12" spans="1:3" x14ac:dyDescent="0.2">
      <c r="A12" s="3" t="s">
        <v>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F87"/>
  <sheetViews>
    <sheetView zoomScale="90" zoomScaleNormal="90" workbookViewId="0"/>
  </sheetViews>
  <sheetFormatPr defaultRowHeight="15" outlineLevelRow="1" x14ac:dyDescent="0.25"/>
  <cols>
    <col min="1" max="1" width="72.42578125" bestFit="1" customWidth="1"/>
    <col min="2" max="2" width="10.28515625" style="213" bestFit="1" customWidth="1"/>
    <col min="3" max="3" width="13.85546875" style="213" bestFit="1" customWidth="1"/>
    <col min="4" max="4" width="10.28515625" style="213" bestFit="1" customWidth="1"/>
    <col min="5" max="6" width="10.140625" style="213" bestFit="1" customWidth="1"/>
  </cols>
  <sheetData>
    <row r="1" spans="1:6" ht="15.75" thickBot="1" x14ac:dyDescent="0.3">
      <c r="A1" s="232" t="s">
        <v>127</v>
      </c>
      <c r="B1" s="240" t="s">
        <v>23</v>
      </c>
      <c r="C1" s="240" t="s">
        <v>24</v>
      </c>
      <c r="D1" s="240" t="s">
        <v>25</v>
      </c>
      <c r="E1" s="240" t="s">
        <v>26</v>
      </c>
      <c r="F1" s="240" t="s">
        <v>27</v>
      </c>
    </row>
    <row r="2" spans="1:6" ht="15.75" thickBot="1" x14ac:dyDescent="0.3">
      <c r="A2" s="233"/>
      <c r="B2" s="206" t="s">
        <v>445</v>
      </c>
      <c r="C2" s="206" t="s">
        <v>445</v>
      </c>
      <c r="D2" s="206" t="s">
        <v>445</v>
      </c>
      <c r="E2" s="206" t="s">
        <v>445</v>
      </c>
      <c r="F2" s="206" t="s">
        <v>445</v>
      </c>
    </row>
    <row r="3" spans="1:6" s="188" customFormat="1" x14ac:dyDescent="0.25">
      <c r="A3" s="234" t="s">
        <v>446</v>
      </c>
      <c r="B3" s="247">
        <f>SUM(B4:B7)</f>
        <v>7.1923076923076925</v>
      </c>
      <c r="C3" s="247">
        <f t="shared" ref="C3:F3" si="0">SUM(C4:C7)</f>
        <v>6</v>
      </c>
      <c r="D3" s="247">
        <f t="shared" si="0"/>
        <v>6</v>
      </c>
      <c r="E3" s="247">
        <f t="shared" si="0"/>
        <v>5</v>
      </c>
      <c r="F3" s="248">
        <f t="shared" si="0"/>
        <v>5</v>
      </c>
    </row>
    <row r="4" spans="1:6" outlineLevel="1" x14ac:dyDescent="0.25">
      <c r="A4" s="235" t="s">
        <v>441</v>
      </c>
      <c r="B4" s="249">
        <f>'Init 1'!G19+'Init 1'!G20+'Init 1'!G21+'Init 1'!G22</f>
        <v>3.875</v>
      </c>
      <c r="C4" s="249">
        <f>'Init 1'!H19+'Init 1'!H20+'Init 1'!H21+'Init 1'!H22</f>
        <v>3</v>
      </c>
      <c r="D4" s="249">
        <f>'Init 1'!I19+'Init 1'!I20+'Init 1'!I21+'Init 1'!I22</f>
        <v>3</v>
      </c>
      <c r="E4" s="249">
        <f>'Init 1'!J19+'Init 1'!J20+'Init 1'!J21+'Init 1'!J22</f>
        <v>2.5</v>
      </c>
      <c r="F4" s="250">
        <f>'Init 1'!K19+'Init 1'!K20+'Init 1'!K21+'Init 1'!K22</f>
        <v>2.5</v>
      </c>
    </row>
    <row r="5" spans="1:6" outlineLevel="1" x14ac:dyDescent="0.25">
      <c r="A5" s="235" t="s">
        <v>442</v>
      </c>
      <c r="B5" s="249">
        <f>'Init 1'!G23</f>
        <v>0</v>
      </c>
      <c r="C5" s="249">
        <f>'Init 1'!H23</f>
        <v>0</v>
      </c>
      <c r="D5" s="249">
        <f>'Init 1'!I23</f>
        <v>0</v>
      </c>
      <c r="E5" s="249">
        <f>'Init 1'!J23</f>
        <v>0</v>
      </c>
      <c r="F5" s="250">
        <f>'Init 1'!K23</f>
        <v>0</v>
      </c>
    </row>
    <row r="6" spans="1:6" outlineLevel="1" x14ac:dyDescent="0.25">
      <c r="A6" s="235" t="s">
        <v>61</v>
      </c>
      <c r="B6" s="249">
        <f>'Init 1'!G24</f>
        <v>0</v>
      </c>
      <c r="C6" s="249">
        <f>'Init 1'!H24</f>
        <v>0</v>
      </c>
      <c r="D6" s="249">
        <f>'Init 1'!I24</f>
        <v>0</v>
      </c>
      <c r="E6" s="249">
        <f>'Init 1'!J24</f>
        <v>0</v>
      </c>
      <c r="F6" s="250">
        <f>'Init 1'!K24</f>
        <v>0</v>
      </c>
    </row>
    <row r="7" spans="1:6" ht="15.75" outlineLevel="1" thickBot="1" x14ac:dyDescent="0.3">
      <c r="A7" s="235" t="s">
        <v>443</v>
      </c>
      <c r="B7" s="249">
        <f>'Init 1'!G27+'Init 1'!G28+'Init 1'!G29+'Init 1'!G30</f>
        <v>3.3173076923076925</v>
      </c>
      <c r="C7" s="249">
        <f>'Init 1'!H27+'Init 1'!H28+'Init 1'!H29+'Init 1'!H30</f>
        <v>3</v>
      </c>
      <c r="D7" s="249">
        <f>'Init 1'!I27+'Init 1'!I28+'Init 1'!I29+'Init 1'!I30</f>
        <v>3</v>
      </c>
      <c r="E7" s="249">
        <f>'Init 1'!J27+'Init 1'!J28+'Init 1'!J29+'Init 1'!J30</f>
        <v>2.5</v>
      </c>
      <c r="F7" s="250">
        <f>'Init 1'!K27+'Init 1'!K28+'Init 1'!K29+'Init 1'!K30</f>
        <v>2.5</v>
      </c>
    </row>
    <row r="8" spans="1:6" s="188" customFormat="1" x14ac:dyDescent="0.25">
      <c r="A8" s="234" t="s">
        <v>328</v>
      </c>
      <c r="B8" s="247">
        <f>SUM(B9:B12)</f>
        <v>3.9425384615384615</v>
      </c>
      <c r="C8" s="247">
        <f t="shared" ref="C8" si="1">SUM(C9:C12)</f>
        <v>3.25</v>
      </c>
      <c r="D8" s="247">
        <f t="shared" ref="D8" si="2">SUM(D9:D12)</f>
        <v>3.25</v>
      </c>
      <c r="E8" s="247">
        <f t="shared" ref="E8" si="3">SUM(E9:E12)</f>
        <v>3.25</v>
      </c>
      <c r="F8" s="248">
        <f t="shared" ref="F8" si="4">SUM(F9:F12)</f>
        <v>3.25</v>
      </c>
    </row>
    <row r="9" spans="1:6" outlineLevel="1" x14ac:dyDescent="0.25">
      <c r="A9" s="241" t="s">
        <v>441</v>
      </c>
      <c r="B9" s="249">
        <f>'Init 2'!G21</f>
        <v>0.89926923076923082</v>
      </c>
      <c r="C9" s="249">
        <f>'Init 2'!H21</f>
        <v>0.4375</v>
      </c>
      <c r="D9" s="249">
        <f>'Init 2'!I21</f>
        <v>0.4375</v>
      </c>
      <c r="E9" s="249">
        <f>'Init 2'!J21</f>
        <v>0.4375</v>
      </c>
      <c r="F9" s="250">
        <f>'Init 2'!K21</f>
        <v>0.4375</v>
      </c>
    </row>
    <row r="10" spans="1:6" outlineLevel="1" x14ac:dyDescent="0.25">
      <c r="A10" s="241" t="s">
        <v>442</v>
      </c>
      <c r="B10" s="249">
        <f>'Init 2'!G23+'Init 2'!G25+'Init 2'!G26</f>
        <v>1.2307692307692308</v>
      </c>
      <c r="C10" s="249">
        <v>1</v>
      </c>
      <c r="D10" s="249">
        <v>1</v>
      </c>
      <c r="E10" s="249">
        <v>1</v>
      </c>
      <c r="F10" s="250">
        <v>1</v>
      </c>
    </row>
    <row r="11" spans="1:6" outlineLevel="1" x14ac:dyDescent="0.25">
      <c r="A11" s="241" t="s">
        <v>61</v>
      </c>
      <c r="B11" s="249">
        <f>'Init 2'!G24</f>
        <v>1.375</v>
      </c>
      <c r="C11" s="249">
        <f>'Init 2'!H24</f>
        <v>1.375</v>
      </c>
      <c r="D11" s="249">
        <f>'Init 2'!I24</f>
        <v>1.375</v>
      </c>
      <c r="E11" s="249">
        <f>'Init 2'!J24</f>
        <v>1.375</v>
      </c>
      <c r="F11" s="250">
        <f>'Init 2'!K24</f>
        <v>1.375</v>
      </c>
    </row>
    <row r="12" spans="1:6" ht="15.75" outlineLevel="1" thickBot="1" x14ac:dyDescent="0.3">
      <c r="A12" s="241" t="s">
        <v>443</v>
      </c>
      <c r="B12" s="249">
        <f>'Init 2'!G27+'Init 2'!G28</f>
        <v>0.4375</v>
      </c>
      <c r="C12" s="249">
        <f>'Init 2'!H27+'Init 2'!H28</f>
        <v>0.4375</v>
      </c>
      <c r="D12" s="249">
        <f>'Init 2'!I27+'Init 2'!I28</f>
        <v>0.4375</v>
      </c>
      <c r="E12" s="249">
        <f>'Init 2'!J27+'Init 2'!J28</f>
        <v>0.4375</v>
      </c>
      <c r="F12" s="250">
        <f>'Init 2'!K27+'Init 2'!K28</f>
        <v>0.4375</v>
      </c>
    </row>
    <row r="13" spans="1:6" s="188" customFormat="1" x14ac:dyDescent="0.25">
      <c r="A13" s="234" t="s">
        <v>339</v>
      </c>
      <c r="B13" s="247">
        <f>SUM(B14:B17)</f>
        <v>3</v>
      </c>
      <c r="C13" s="247">
        <f t="shared" ref="C13" si="5">SUM(C14:C17)</f>
        <v>3</v>
      </c>
      <c r="D13" s="247">
        <f t="shared" ref="D13" si="6">SUM(D14:D17)</f>
        <v>3</v>
      </c>
      <c r="E13" s="247">
        <f t="shared" ref="E13" si="7">SUM(E14:E17)</f>
        <v>3</v>
      </c>
      <c r="F13" s="248">
        <f t="shared" ref="F13" si="8">SUM(F14:F17)</f>
        <v>3</v>
      </c>
    </row>
    <row r="14" spans="1:6" outlineLevel="1" x14ac:dyDescent="0.25">
      <c r="A14" s="235" t="s">
        <v>441</v>
      </c>
      <c r="B14" s="249">
        <f>'Init 3'!G21+'Init 3'!G22</f>
        <v>1</v>
      </c>
      <c r="C14" s="249">
        <f>'Init 3'!H21+'Init 3'!H22</f>
        <v>1</v>
      </c>
      <c r="D14" s="249">
        <f>'Init 3'!I21+'Init 3'!I22</f>
        <v>1</v>
      </c>
      <c r="E14" s="249">
        <f>'Init 3'!J21+'Init 3'!J22</f>
        <v>1</v>
      </c>
      <c r="F14" s="250">
        <f>'Init 3'!K21+'Init 3'!K22</f>
        <v>1</v>
      </c>
    </row>
    <row r="15" spans="1:6" outlineLevel="1" x14ac:dyDescent="0.25">
      <c r="A15" s="235" t="s">
        <v>442</v>
      </c>
      <c r="B15" s="249">
        <f>'Init 3'!G23</f>
        <v>0</v>
      </c>
      <c r="C15" s="249">
        <f>'Init 3'!H23</f>
        <v>0</v>
      </c>
      <c r="D15" s="249">
        <f>'Init 3'!I23</f>
        <v>0</v>
      </c>
      <c r="E15" s="249">
        <f>'Init 3'!J23</f>
        <v>0</v>
      </c>
      <c r="F15" s="250">
        <f>'Init 3'!K23</f>
        <v>0</v>
      </c>
    </row>
    <row r="16" spans="1:6" outlineLevel="1" x14ac:dyDescent="0.25">
      <c r="A16" s="235" t="s">
        <v>61</v>
      </c>
      <c r="B16" s="249">
        <f>'Init 3'!G24</f>
        <v>0</v>
      </c>
      <c r="C16" s="249">
        <f>'Init 3'!H24</f>
        <v>0</v>
      </c>
      <c r="D16" s="249">
        <f>'Init 3'!I24</f>
        <v>0</v>
      </c>
      <c r="E16" s="249">
        <f>'Init 3'!J24</f>
        <v>0</v>
      </c>
      <c r="F16" s="250">
        <f>'Init 3'!K24</f>
        <v>0</v>
      </c>
    </row>
    <row r="17" spans="1:6" ht="15.75" outlineLevel="1" thickBot="1" x14ac:dyDescent="0.3">
      <c r="A17" s="235" t="s">
        <v>443</v>
      </c>
      <c r="B17" s="249">
        <f>'Init 3'!G27+'Init 3'!G28</f>
        <v>2</v>
      </c>
      <c r="C17" s="249">
        <f>'Init 3'!H27+'Init 3'!H28</f>
        <v>2</v>
      </c>
      <c r="D17" s="249">
        <f>'Init 3'!I27+'Init 3'!I28</f>
        <v>2</v>
      </c>
      <c r="E17" s="249">
        <f>'Init 3'!J27+'Init 3'!J28</f>
        <v>2</v>
      </c>
      <c r="F17" s="250">
        <f>'Init 3'!K27+'Init 3'!K28</f>
        <v>2</v>
      </c>
    </row>
    <row r="18" spans="1:6" s="188" customFormat="1" x14ac:dyDescent="0.25">
      <c r="A18" s="234" t="s">
        <v>355</v>
      </c>
      <c r="B18" s="247">
        <f>SUM(B19:B22)</f>
        <v>0</v>
      </c>
      <c r="C18" s="247">
        <f t="shared" ref="C18" si="9">SUM(C19:C22)</f>
        <v>4</v>
      </c>
      <c r="D18" s="247">
        <f t="shared" ref="D18" si="10">SUM(D19:D22)</f>
        <v>0</v>
      </c>
      <c r="E18" s="247">
        <f t="shared" ref="E18" si="11">SUM(E19:E22)</f>
        <v>0</v>
      </c>
      <c r="F18" s="248">
        <f t="shared" ref="F18" si="12">SUM(F19:F22)</f>
        <v>0</v>
      </c>
    </row>
    <row r="19" spans="1:6" outlineLevel="1" x14ac:dyDescent="0.25">
      <c r="A19" s="235" t="s">
        <v>441</v>
      </c>
      <c r="B19" s="249">
        <f>'Init 4'!G21+'Init 4'!G22</f>
        <v>0</v>
      </c>
      <c r="C19" s="249">
        <f>'Init 4'!H21+'Init 4'!H22</f>
        <v>0</v>
      </c>
      <c r="D19" s="249">
        <f>'Init 4'!I21+'Init 4'!I22</f>
        <v>0</v>
      </c>
      <c r="E19" s="249">
        <f>'Init 4'!J21+'Init 4'!J22</f>
        <v>0</v>
      </c>
      <c r="F19" s="250">
        <f>'Init 4'!K21+'Init 4'!K22</f>
        <v>0</v>
      </c>
    </row>
    <row r="20" spans="1:6" outlineLevel="1" x14ac:dyDescent="0.25">
      <c r="A20" s="235" t="s">
        <v>442</v>
      </c>
      <c r="B20" s="249">
        <f>'Init 4'!G23</f>
        <v>0</v>
      </c>
      <c r="C20" s="249">
        <f>'Init 4'!H23</f>
        <v>0</v>
      </c>
      <c r="D20" s="249">
        <f>'Init 4'!I23</f>
        <v>0</v>
      </c>
      <c r="E20" s="249">
        <f>'Init 4'!J23</f>
        <v>0</v>
      </c>
      <c r="F20" s="250">
        <f>'Init 4'!K23</f>
        <v>0</v>
      </c>
    </row>
    <row r="21" spans="1:6" outlineLevel="1" x14ac:dyDescent="0.25">
      <c r="A21" s="235" t="s">
        <v>61</v>
      </c>
      <c r="B21" s="249">
        <f>'Init 4'!G24</f>
        <v>0</v>
      </c>
      <c r="C21" s="249">
        <f>'Init 4'!H24</f>
        <v>2</v>
      </c>
      <c r="D21" s="249">
        <f>'Init 4'!I24</f>
        <v>0</v>
      </c>
      <c r="E21" s="249">
        <f>'Init 4'!J24</f>
        <v>0</v>
      </c>
      <c r="F21" s="250">
        <f>'Init 4'!K24</f>
        <v>0</v>
      </c>
    </row>
    <row r="22" spans="1:6" ht="15.75" outlineLevel="1" thickBot="1" x14ac:dyDescent="0.3">
      <c r="A22" s="235" t="s">
        <v>443</v>
      </c>
      <c r="B22" s="249">
        <f>'Init 4'!G27+'Init 4'!G28</f>
        <v>0</v>
      </c>
      <c r="C22" s="249">
        <f>'Init 4'!H27+'Init 4'!H28</f>
        <v>2</v>
      </c>
      <c r="D22" s="249">
        <f>'Init 4'!I27+'Init 4'!I28</f>
        <v>0</v>
      </c>
      <c r="E22" s="249">
        <f>'Init 4'!J27+'Init 4'!J28</f>
        <v>0</v>
      </c>
      <c r="F22" s="250">
        <f>'Init 4'!K27+'Init 4'!K28</f>
        <v>0</v>
      </c>
    </row>
    <row r="23" spans="1:6" s="188" customFormat="1" x14ac:dyDescent="0.25">
      <c r="A23" s="234" t="s">
        <v>447</v>
      </c>
      <c r="B23" s="247">
        <f>SUM(B24:B27)</f>
        <v>7</v>
      </c>
      <c r="C23" s="247">
        <f t="shared" ref="C23" si="13">SUM(C24:C27)</f>
        <v>0</v>
      </c>
      <c r="D23" s="247">
        <f t="shared" ref="D23" si="14">SUM(D24:D27)</f>
        <v>0</v>
      </c>
      <c r="E23" s="247">
        <f t="shared" ref="E23" si="15">SUM(E24:E27)</f>
        <v>0</v>
      </c>
      <c r="F23" s="248">
        <f t="shared" ref="F23" si="16">SUM(F24:F27)</f>
        <v>0</v>
      </c>
    </row>
    <row r="24" spans="1:6" outlineLevel="1" x14ac:dyDescent="0.25">
      <c r="A24" s="235" t="s">
        <v>441</v>
      </c>
      <c r="B24" s="249">
        <f>'Init 5'!G21+'Init 5'!G22</f>
        <v>0</v>
      </c>
      <c r="C24" s="249">
        <f>'Init 5'!H21+'Init 5'!H22</f>
        <v>0</v>
      </c>
      <c r="D24" s="249">
        <f>'Init 5'!I21+'Init 5'!I22</f>
        <v>0</v>
      </c>
      <c r="E24" s="249">
        <f>'Init 5'!J21+'Init 5'!J22</f>
        <v>0</v>
      </c>
      <c r="F24" s="250">
        <f>'Init 5'!K21+'Init 5'!K22</f>
        <v>0</v>
      </c>
    </row>
    <row r="25" spans="1:6" outlineLevel="1" x14ac:dyDescent="0.25">
      <c r="A25" s="235" t="s">
        <v>442</v>
      </c>
      <c r="B25" s="249">
        <f>'Init 5'!G23</f>
        <v>0</v>
      </c>
      <c r="C25" s="249">
        <f>'Init 5'!H23</f>
        <v>0</v>
      </c>
      <c r="D25" s="249">
        <f>'Init 5'!I23</f>
        <v>0</v>
      </c>
      <c r="E25" s="249">
        <f>'Init 5'!J23</f>
        <v>0</v>
      </c>
      <c r="F25" s="250">
        <f>'Init 5'!K23</f>
        <v>0</v>
      </c>
    </row>
    <row r="26" spans="1:6" outlineLevel="1" x14ac:dyDescent="0.25">
      <c r="A26" s="235" t="s">
        <v>61</v>
      </c>
      <c r="B26" s="249">
        <f>'Init 5'!G24</f>
        <v>0</v>
      </c>
      <c r="C26" s="249">
        <f>'Init 5'!H24</f>
        <v>0</v>
      </c>
      <c r="D26" s="249">
        <f>'Init 5'!I24</f>
        <v>0</v>
      </c>
      <c r="E26" s="249">
        <f>'Init 5'!J24</f>
        <v>0</v>
      </c>
      <c r="F26" s="250">
        <f>'Init 5'!K24</f>
        <v>0</v>
      </c>
    </row>
    <row r="27" spans="1:6" ht="15.75" outlineLevel="1" thickBot="1" x14ac:dyDescent="0.3">
      <c r="A27" s="235" t="s">
        <v>443</v>
      </c>
      <c r="B27" s="249">
        <f>'Init 5'!G27+'Init 5'!G28</f>
        <v>7</v>
      </c>
      <c r="C27" s="249">
        <f>'Init 5'!H27+'Init 5'!H28</f>
        <v>0</v>
      </c>
      <c r="D27" s="249">
        <f>'Init 5'!I27+'Init 5'!I28</f>
        <v>0</v>
      </c>
      <c r="E27" s="249">
        <f>'Init 5'!J27+'Init 5'!J28</f>
        <v>0</v>
      </c>
      <c r="F27" s="250">
        <f>'Init 5'!K27+'Init 5'!K28</f>
        <v>0</v>
      </c>
    </row>
    <row r="28" spans="1:6" s="188" customFormat="1" x14ac:dyDescent="0.25">
      <c r="A28" s="234" t="s">
        <v>333</v>
      </c>
      <c r="B28" s="247">
        <f>SUM(B29:B32)</f>
        <v>1.4586538461538459</v>
      </c>
      <c r="C28" s="247">
        <f t="shared" ref="C28" si="17">SUM(C29:C32)</f>
        <v>0.26865384615384619</v>
      </c>
      <c r="D28" s="247">
        <f t="shared" ref="D28" si="18">SUM(D29:D32)</f>
        <v>0.26865384615384619</v>
      </c>
      <c r="E28" s="247">
        <f t="shared" ref="E28" si="19">SUM(E29:E32)</f>
        <v>0.26865384615384619</v>
      </c>
      <c r="F28" s="248">
        <f t="shared" ref="F28" si="20">SUM(F29:F32)</f>
        <v>0.27442307692307694</v>
      </c>
    </row>
    <row r="29" spans="1:6" outlineLevel="1" x14ac:dyDescent="0.25">
      <c r="A29" s="241" t="s">
        <v>441</v>
      </c>
      <c r="B29" s="249">
        <f>'Init 6'!G21+'Init 6'!G22</f>
        <v>1.0182692307692307</v>
      </c>
      <c r="C29" s="249">
        <f>'Init 6'!H21+'Init 6'!H22</f>
        <v>0.19211538461538463</v>
      </c>
      <c r="D29" s="249">
        <f>'Init 6'!I21+'Init 6'!I22</f>
        <v>0.19211538461538463</v>
      </c>
      <c r="E29" s="249">
        <f>'Init 6'!J21+'Init 6'!J22</f>
        <v>0.19211538461538463</v>
      </c>
      <c r="F29" s="250">
        <f>'Init 6'!K21+'Init 6'!K22</f>
        <v>0.19211538461538463</v>
      </c>
    </row>
    <row r="30" spans="1:6" outlineLevel="1" x14ac:dyDescent="0.25">
      <c r="A30" s="241" t="s">
        <v>442</v>
      </c>
      <c r="B30" s="249">
        <v>0.22884615384615381</v>
      </c>
      <c r="C30" s="261">
        <v>4.576923076923077E-2</v>
      </c>
      <c r="D30" s="261">
        <v>4.576923076923077E-2</v>
      </c>
      <c r="E30" s="261">
        <v>4.576923076923077E-2</v>
      </c>
      <c r="F30" s="262">
        <v>4.576923076923077E-2</v>
      </c>
    </row>
    <row r="31" spans="1:6" outlineLevel="1" x14ac:dyDescent="0.25">
      <c r="A31" s="241" t="s">
        <v>61</v>
      </c>
      <c r="B31" s="249">
        <f>'Init 6'!G24</f>
        <v>0</v>
      </c>
      <c r="C31" s="249">
        <f>'Init 6'!H24</f>
        <v>0</v>
      </c>
      <c r="D31" s="249">
        <f>'Init 6'!I24</f>
        <v>0</v>
      </c>
      <c r="E31" s="249">
        <f>'Init 6'!J24</f>
        <v>0</v>
      </c>
      <c r="F31" s="250">
        <f>'Init 6'!K24</f>
        <v>0</v>
      </c>
    </row>
    <row r="32" spans="1:6" ht="15.75" outlineLevel="1" thickBot="1" x14ac:dyDescent="0.3">
      <c r="A32" s="241" t="s">
        <v>443</v>
      </c>
      <c r="B32" s="249">
        <f>'Init 6'!G27+'Init 6'!G28</f>
        <v>0.21153846153846154</v>
      </c>
      <c r="C32" s="249">
        <f>'Init 6'!H27+'Init 6'!H28</f>
        <v>3.0769230769230771E-2</v>
      </c>
      <c r="D32" s="249">
        <f>'Init 6'!I27+'Init 6'!I28</f>
        <v>3.0769230769230771E-2</v>
      </c>
      <c r="E32" s="249">
        <f>'Init 6'!J27+'Init 6'!J28</f>
        <v>3.0769230769230771E-2</v>
      </c>
      <c r="F32" s="250">
        <f>'Init 6'!K27+'Init 6'!K28</f>
        <v>3.653846153846154E-2</v>
      </c>
    </row>
    <row r="33" spans="1:6" s="188" customFormat="1" x14ac:dyDescent="0.25">
      <c r="A33" s="234" t="s">
        <v>448</v>
      </c>
      <c r="B33" s="247">
        <f>SUM(B34:B37)</f>
        <v>0.73124999999999996</v>
      </c>
      <c r="C33" s="247">
        <f t="shared" ref="C33" si="21">SUM(C34:C37)</f>
        <v>0</v>
      </c>
      <c r="D33" s="247">
        <f t="shared" ref="D33" si="22">SUM(D34:D37)</f>
        <v>0</v>
      </c>
      <c r="E33" s="247">
        <f t="shared" ref="E33" si="23">SUM(E34:E37)</f>
        <v>0</v>
      </c>
      <c r="F33" s="248">
        <f t="shared" ref="F33" si="24">SUM(F34:F37)</f>
        <v>0</v>
      </c>
    </row>
    <row r="34" spans="1:6" outlineLevel="1" x14ac:dyDescent="0.25">
      <c r="A34" s="235" t="s">
        <v>441</v>
      </c>
      <c r="B34" s="249">
        <f>'Init 7'!G21+'Init 7'!G22</f>
        <v>0.35817307692307693</v>
      </c>
      <c r="C34" s="249">
        <f>'Init 7'!H21+'Init 7'!H22</f>
        <v>0</v>
      </c>
      <c r="D34" s="249">
        <f>'Init 7'!I21+'Init 7'!I22</f>
        <v>0</v>
      </c>
      <c r="E34" s="249">
        <f>'Init 7'!J21+'Init 7'!J22</f>
        <v>0</v>
      </c>
      <c r="F34" s="250">
        <f>'Init 7'!O21+'Init 7'!K22</f>
        <v>0</v>
      </c>
    </row>
    <row r="35" spans="1:6" outlineLevel="1" x14ac:dyDescent="0.25">
      <c r="A35" s="235" t="s">
        <v>442</v>
      </c>
      <c r="B35" s="249">
        <f>'Init 7'!G23</f>
        <v>0.22884615384615387</v>
      </c>
      <c r="C35" s="249">
        <f>'Init 7'!H23</f>
        <v>0</v>
      </c>
      <c r="D35" s="249">
        <f>'Init 7'!I23</f>
        <v>0</v>
      </c>
      <c r="E35" s="249">
        <f>'Init 7'!J23</f>
        <v>0</v>
      </c>
      <c r="F35" s="250">
        <f>'Init 7'!K23</f>
        <v>0</v>
      </c>
    </row>
    <row r="36" spans="1:6" outlineLevel="1" x14ac:dyDescent="0.25">
      <c r="A36" s="235" t="s">
        <v>61</v>
      </c>
      <c r="B36" s="249">
        <f>'Init 7'!G24</f>
        <v>0</v>
      </c>
      <c r="C36" s="249">
        <f>'Init 7'!H24</f>
        <v>0</v>
      </c>
      <c r="D36" s="249">
        <f>'Init 7'!I24</f>
        <v>0</v>
      </c>
      <c r="E36" s="249">
        <f>'Init 7'!J24</f>
        <v>0</v>
      </c>
      <c r="F36" s="250">
        <f>'Init 7'!K24</f>
        <v>0</v>
      </c>
    </row>
    <row r="37" spans="1:6" ht="15.75" outlineLevel="1" thickBot="1" x14ac:dyDescent="0.3">
      <c r="A37" s="235" t="s">
        <v>443</v>
      </c>
      <c r="B37" s="249">
        <f>'Init 7'!G27+'Init 7'!G28</f>
        <v>0.14423076923076922</v>
      </c>
      <c r="C37" s="249">
        <f>'Init 7'!H27+'Init 7'!H28</f>
        <v>0</v>
      </c>
      <c r="D37" s="249">
        <f>'Init 7'!I27+'Init 7'!I28</f>
        <v>0</v>
      </c>
      <c r="E37" s="249">
        <f>'Init 7'!J27+'Init 7'!J28</f>
        <v>0</v>
      </c>
      <c r="F37" s="250">
        <f>'Init 7'!K27+'Init 7'!K28</f>
        <v>0</v>
      </c>
    </row>
    <row r="38" spans="1:6" s="188" customFormat="1" x14ac:dyDescent="0.25">
      <c r="A38" s="234" t="s">
        <v>329</v>
      </c>
      <c r="B38" s="247">
        <f>SUM(B39:B42)</f>
        <v>2.0259615384615386</v>
      </c>
      <c r="C38" s="247">
        <f t="shared" ref="C38" si="25">SUM(C39:C42)</f>
        <v>1</v>
      </c>
      <c r="D38" s="247">
        <f t="shared" ref="D38" si="26">SUM(D39:D42)</f>
        <v>1</v>
      </c>
      <c r="E38" s="247">
        <f t="shared" ref="E38" si="27">SUM(E39:E42)</f>
        <v>1</v>
      </c>
      <c r="F38" s="248">
        <f t="shared" ref="F38" si="28">SUM(F39:F42)</f>
        <v>1</v>
      </c>
    </row>
    <row r="39" spans="1:6" outlineLevel="1" x14ac:dyDescent="0.25">
      <c r="A39" s="235" t="s">
        <v>441</v>
      </c>
      <c r="B39" s="249">
        <f>'Init 8'!G23+'Init 8'!G24+'Init 8'!G22</f>
        <v>1.6846153846153846</v>
      </c>
      <c r="C39" s="249">
        <f>'Init 8'!H23+'Init 8'!H24+'Init 8'!H22</f>
        <v>1</v>
      </c>
      <c r="D39" s="249">
        <f>'Init 8'!I23+'Init 8'!I24+'Init 8'!I22</f>
        <v>1</v>
      </c>
      <c r="E39" s="249">
        <f>'Init 8'!J23+'Init 8'!J24+'Init 8'!J22</f>
        <v>1</v>
      </c>
      <c r="F39" s="250">
        <f>'Init 8'!K23+'Init 8'!K24+'Init 8'!K22</f>
        <v>1</v>
      </c>
    </row>
    <row r="40" spans="1:6" outlineLevel="1" x14ac:dyDescent="0.25">
      <c r="A40" s="235" t="s">
        <v>442</v>
      </c>
      <c r="B40" s="249">
        <f>'Init 8'!G25</f>
        <v>0</v>
      </c>
      <c r="C40" s="249">
        <f>'Init 8'!H25</f>
        <v>0</v>
      </c>
      <c r="D40" s="249">
        <f>'Init 8'!I25</f>
        <v>0</v>
      </c>
      <c r="E40" s="249">
        <f>'Init 8'!J25</f>
        <v>0</v>
      </c>
      <c r="F40" s="250">
        <f>'Init 8'!K25</f>
        <v>0</v>
      </c>
    </row>
    <row r="41" spans="1:6" outlineLevel="1" x14ac:dyDescent="0.25">
      <c r="A41" s="235" t="s">
        <v>61</v>
      </c>
      <c r="B41" s="249">
        <f>'Init 8'!G26</f>
        <v>0</v>
      </c>
      <c r="C41" s="249">
        <f>'Init 8'!H26</f>
        <v>0</v>
      </c>
      <c r="D41" s="249">
        <f>'Init 8'!I26</f>
        <v>0</v>
      </c>
      <c r="E41" s="249">
        <f>'Init 8'!J26</f>
        <v>0</v>
      </c>
      <c r="F41" s="250">
        <f>'Init 8'!K26</f>
        <v>0</v>
      </c>
    </row>
    <row r="42" spans="1:6" ht="15.75" outlineLevel="1" thickBot="1" x14ac:dyDescent="0.3">
      <c r="A42" s="235" t="s">
        <v>443</v>
      </c>
      <c r="B42" s="249">
        <f>'Init 8'!G29+'Init 8'!G30</f>
        <v>0.34134615384615385</v>
      </c>
      <c r="C42" s="249">
        <f>'Init 8'!H29+'Init 8'!H30</f>
        <v>0</v>
      </c>
      <c r="D42" s="249">
        <f>'Init 8'!I29+'Init 8'!I30</f>
        <v>0</v>
      </c>
      <c r="E42" s="249">
        <f>'Init 8'!J29+'Init 8'!J30</f>
        <v>0</v>
      </c>
      <c r="F42" s="250">
        <f>'Init 8'!K29+'Init 8'!K30</f>
        <v>0</v>
      </c>
    </row>
    <row r="43" spans="1:6" s="188" customFormat="1" x14ac:dyDescent="0.25">
      <c r="A43" s="234" t="s">
        <v>449</v>
      </c>
      <c r="B43" s="247">
        <f>SUM(B44:B47)</f>
        <v>2.8574999999999999</v>
      </c>
      <c r="C43" s="247">
        <f t="shared" ref="C43" si="29">SUM(C44:C47)</f>
        <v>2.8574999999999999</v>
      </c>
      <c r="D43" s="247">
        <f t="shared" ref="D43" si="30">SUM(D44:D47)</f>
        <v>2.8574999999999999</v>
      </c>
      <c r="E43" s="247">
        <f t="shared" ref="E43" si="31">SUM(E44:E47)</f>
        <v>2.8574999999999999</v>
      </c>
      <c r="F43" s="248">
        <f t="shared" ref="F43" si="32">SUM(F44:F47)</f>
        <v>2.8574999999999999</v>
      </c>
    </row>
    <row r="44" spans="1:6" outlineLevel="1" x14ac:dyDescent="0.25">
      <c r="A44" s="235" t="s">
        <v>441</v>
      </c>
      <c r="B44" s="249">
        <f>'Init 9'!G21+'Init 9'!G22</f>
        <v>0</v>
      </c>
      <c r="C44" s="249">
        <f>'Init 9'!H21+'Init 9'!H22</f>
        <v>0</v>
      </c>
      <c r="D44" s="249">
        <f>'Init 9'!I21+'Init 9'!I22</f>
        <v>0</v>
      </c>
      <c r="E44" s="249">
        <f>'Init 9'!J21+'Init 9'!J22</f>
        <v>0</v>
      </c>
      <c r="F44" s="250">
        <f>'Init 9'!K21+'Init 9'!K22</f>
        <v>0</v>
      </c>
    </row>
    <row r="45" spans="1:6" outlineLevel="1" x14ac:dyDescent="0.25">
      <c r="A45" s="235" t="s">
        <v>442</v>
      </c>
      <c r="B45" s="249">
        <f>'Init 9'!G23</f>
        <v>0</v>
      </c>
      <c r="C45" s="249">
        <f>'Init 9'!H23</f>
        <v>0</v>
      </c>
      <c r="D45" s="249">
        <f>'Init 9'!I23</f>
        <v>0</v>
      </c>
      <c r="E45" s="249">
        <f>'Init 9'!J23</f>
        <v>0</v>
      </c>
      <c r="F45" s="250">
        <f>'Init 9'!K23</f>
        <v>0</v>
      </c>
    </row>
    <row r="46" spans="1:6" outlineLevel="1" x14ac:dyDescent="0.25">
      <c r="A46" s="235" t="s">
        <v>61</v>
      </c>
      <c r="B46" s="249">
        <f>'Init 9'!G24</f>
        <v>0</v>
      </c>
      <c r="C46" s="249">
        <f>'Init 9'!H24</f>
        <v>0</v>
      </c>
      <c r="D46" s="249">
        <f>'Init 9'!I24</f>
        <v>0</v>
      </c>
      <c r="E46" s="249">
        <f>'Init 9'!J24</f>
        <v>0</v>
      </c>
      <c r="F46" s="250">
        <f>'Init 9'!K24</f>
        <v>0</v>
      </c>
    </row>
    <row r="47" spans="1:6" ht="15.75" outlineLevel="1" thickBot="1" x14ac:dyDescent="0.3">
      <c r="A47" s="235" t="s">
        <v>443</v>
      </c>
      <c r="B47" s="249">
        <f>'Init 9'!G27+'Init 9'!G28</f>
        <v>2.8574999999999999</v>
      </c>
      <c r="C47" s="249">
        <f>'Init 9'!H27+'Init 9'!H28</f>
        <v>2.8574999999999999</v>
      </c>
      <c r="D47" s="249">
        <f>'Init 9'!I27+'Init 9'!I28</f>
        <v>2.8574999999999999</v>
      </c>
      <c r="E47" s="249">
        <f>'Init 9'!J27+'Init 9'!J28</f>
        <v>2.8574999999999999</v>
      </c>
      <c r="F47" s="250">
        <f>'Init 9'!K27+'Init 9'!K28</f>
        <v>2.8574999999999999</v>
      </c>
    </row>
    <row r="48" spans="1:6" s="188" customFormat="1" x14ac:dyDescent="0.25">
      <c r="A48" s="234" t="s">
        <v>450</v>
      </c>
      <c r="B48" s="247">
        <f>SUM(B49:B52)</f>
        <v>2.54</v>
      </c>
      <c r="C48" s="247">
        <f t="shared" ref="C48" si="33">SUM(C49:C52)</f>
        <v>2.54</v>
      </c>
      <c r="D48" s="247">
        <f t="shared" ref="D48" si="34">SUM(D49:D52)</f>
        <v>2.54</v>
      </c>
      <c r="E48" s="247">
        <f t="shared" ref="E48" si="35">SUM(E49:E52)</f>
        <v>2.54</v>
      </c>
      <c r="F48" s="248">
        <f t="shared" ref="F48" si="36">SUM(F49:F52)</f>
        <v>2.54</v>
      </c>
    </row>
    <row r="49" spans="1:6" outlineLevel="1" x14ac:dyDescent="0.25">
      <c r="A49" s="235" t="s">
        <v>441</v>
      </c>
      <c r="B49" s="249">
        <f>'Init 10'!G21+'Init 10'!G22</f>
        <v>0</v>
      </c>
      <c r="C49" s="249">
        <f>'Init 10'!H21+'Init 10'!H22</f>
        <v>0</v>
      </c>
      <c r="D49" s="249">
        <f>'Init 10'!I21+'Init 10'!I22</f>
        <v>0</v>
      </c>
      <c r="E49" s="249">
        <f>'Init 10'!J21+'Init 10'!J22</f>
        <v>0</v>
      </c>
      <c r="F49" s="250">
        <f>'Init 10'!K21+'Init 10'!K22</f>
        <v>0</v>
      </c>
    </row>
    <row r="50" spans="1:6" outlineLevel="1" x14ac:dyDescent="0.25">
      <c r="A50" s="235" t="s">
        <v>442</v>
      </c>
      <c r="B50" s="249">
        <f>'Init 10'!G23</f>
        <v>0</v>
      </c>
      <c r="C50" s="249">
        <f>'Init 10'!H23</f>
        <v>0</v>
      </c>
      <c r="D50" s="249">
        <f>'Init 10'!I23</f>
        <v>0</v>
      </c>
      <c r="E50" s="249">
        <f>'Init 10'!J23</f>
        <v>0</v>
      </c>
      <c r="F50" s="250">
        <f>'Init 10'!K23</f>
        <v>0</v>
      </c>
    </row>
    <row r="51" spans="1:6" outlineLevel="1" x14ac:dyDescent="0.25">
      <c r="A51" s="235" t="s">
        <v>61</v>
      </c>
      <c r="B51" s="249">
        <f>'Init 10'!G24</f>
        <v>0</v>
      </c>
      <c r="C51" s="249">
        <f>'Init 10'!H24</f>
        <v>0</v>
      </c>
      <c r="D51" s="249">
        <f>'Init 10'!I24</f>
        <v>0</v>
      </c>
      <c r="E51" s="249">
        <f>'Init 10'!J24</f>
        <v>0</v>
      </c>
      <c r="F51" s="250">
        <f>'Init 10'!K24</f>
        <v>0</v>
      </c>
    </row>
    <row r="52" spans="1:6" ht="15.75" outlineLevel="1" thickBot="1" x14ac:dyDescent="0.3">
      <c r="A52" s="235" t="s">
        <v>443</v>
      </c>
      <c r="B52" s="249">
        <f>'Init 10'!G27+'Init 10'!G28</f>
        <v>2.54</v>
      </c>
      <c r="C52" s="249">
        <f>'Init 10'!H27+'Init 10'!H28</f>
        <v>2.54</v>
      </c>
      <c r="D52" s="249">
        <f>'Init 10'!I27+'Init 10'!I28</f>
        <v>2.54</v>
      </c>
      <c r="E52" s="249">
        <f>'Init 10'!J27+'Init 10'!J28</f>
        <v>2.54</v>
      </c>
      <c r="F52" s="250">
        <f>'Init 10'!K27+'Init 10'!K28</f>
        <v>2.54</v>
      </c>
    </row>
    <row r="53" spans="1:6" s="188" customFormat="1" x14ac:dyDescent="0.25">
      <c r="A53" s="234" t="s">
        <v>330</v>
      </c>
      <c r="B53" s="247">
        <f>SUM(B54:B57)</f>
        <v>0.33413461538461542</v>
      </c>
      <c r="C53" s="247">
        <f t="shared" ref="C53" si="37">SUM(C54:C57)</f>
        <v>0</v>
      </c>
      <c r="D53" s="247">
        <f t="shared" ref="D53" si="38">SUM(D54:D57)</f>
        <v>0</v>
      </c>
      <c r="E53" s="247">
        <f t="shared" ref="E53" si="39">SUM(E54:E57)</f>
        <v>0</v>
      </c>
      <c r="F53" s="248">
        <f t="shared" ref="F53" si="40">SUM(F54:F57)</f>
        <v>0</v>
      </c>
    </row>
    <row r="54" spans="1:6" outlineLevel="1" x14ac:dyDescent="0.25">
      <c r="A54" s="235" t="s">
        <v>441</v>
      </c>
      <c r="B54" s="249">
        <f>'Init 11'!G21+'Init 11'!G22</f>
        <v>0.17067307692307693</v>
      </c>
      <c r="C54" s="249">
        <f>'Init 11'!H21+'Init 11'!H22</f>
        <v>0</v>
      </c>
      <c r="D54" s="249">
        <f>'Init 11'!I21+'Init 11'!I22</f>
        <v>0</v>
      </c>
      <c r="E54" s="249">
        <f>'Init 11'!J21+'Init 11'!J22</f>
        <v>0</v>
      </c>
      <c r="F54" s="250">
        <f>'Init 11'!K21+'Init 11'!K22</f>
        <v>0</v>
      </c>
    </row>
    <row r="55" spans="1:6" outlineLevel="1" x14ac:dyDescent="0.25">
      <c r="A55" s="235" t="s">
        <v>442</v>
      </c>
      <c r="B55" s="249">
        <f>'Init 11'!G23</f>
        <v>0</v>
      </c>
      <c r="C55" s="249">
        <f>'Init 11'!H23</f>
        <v>0</v>
      </c>
      <c r="D55" s="249">
        <f>'Init 11'!I23</f>
        <v>0</v>
      </c>
      <c r="E55" s="249">
        <f>'Init 11'!J23</f>
        <v>0</v>
      </c>
      <c r="F55" s="250">
        <f>'Init 11'!K23</f>
        <v>0</v>
      </c>
    </row>
    <row r="56" spans="1:6" outlineLevel="1" x14ac:dyDescent="0.25">
      <c r="A56" s="235" t="s">
        <v>61</v>
      </c>
      <c r="B56" s="249">
        <f>'Init 11'!G24</f>
        <v>0.10576923076923077</v>
      </c>
      <c r="C56" s="249">
        <f>'Init 11'!H24</f>
        <v>0</v>
      </c>
      <c r="D56" s="249">
        <f>'Init 11'!I24</f>
        <v>0</v>
      </c>
      <c r="E56" s="249">
        <f>'Init 11'!J24</f>
        <v>0</v>
      </c>
      <c r="F56" s="250">
        <f>'Init 11'!K24</f>
        <v>0</v>
      </c>
    </row>
    <row r="57" spans="1:6" ht="15.75" outlineLevel="1" thickBot="1" x14ac:dyDescent="0.3">
      <c r="A57" s="235" t="s">
        <v>443</v>
      </c>
      <c r="B57" s="249">
        <f>'Init 11'!G27+'Init 11'!G28</f>
        <v>5.7692307692307696E-2</v>
      </c>
      <c r="C57" s="249">
        <f>'Init 11'!H27+'Init 11'!H28</f>
        <v>0</v>
      </c>
      <c r="D57" s="249">
        <f>'Init 11'!I27+'Init 11'!I28</f>
        <v>0</v>
      </c>
      <c r="E57" s="249">
        <f>'Init 11'!J27+'Init 11'!J28</f>
        <v>0</v>
      </c>
      <c r="F57" s="250">
        <f>'Init 11'!K27+'Init 11'!K28</f>
        <v>0</v>
      </c>
    </row>
    <row r="58" spans="1:6" s="188" customFormat="1" x14ac:dyDescent="0.25">
      <c r="A58" s="234" t="s">
        <v>331</v>
      </c>
      <c r="B58" s="247">
        <f>SUM(B59:B62)</f>
        <v>0.40384615384615385</v>
      </c>
      <c r="C58" s="247">
        <f t="shared" ref="C58" si="41">SUM(C59:C62)</f>
        <v>0</v>
      </c>
      <c r="D58" s="247">
        <f t="shared" ref="D58" si="42">SUM(D59:D62)</f>
        <v>0</v>
      </c>
      <c r="E58" s="247">
        <f t="shared" ref="E58" si="43">SUM(E59:E62)</f>
        <v>0</v>
      </c>
      <c r="F58" s="248">
        <f t="shared" ref="F58" si="44">SUM(F59:F62)</f>
        <v>0</v>
      </c>
    </row>
    <row r="59" spans="1:6" outlineLevel="1" x14ac:dyDescent="0.25">
      <c r="A59" s="235" t="s">
        <v>441</v>
      </c>
      <c r="B59" s="249">
        <f>'Init 12'!G21+'Init 12'!G22</f>
        <v>9.6153846153846159E-2</v>
      </c>
      <c r="C59" s="249">
        <f>'Init 12'!H21+'Init 12'!H22</f>
        <v>0</v>
      </c>
      <c r="D59" s="249">
        <f>'Init 12'!I21+'Init 12'!I22</f>
        <v>0</v>
      </c>
      <c r="E59" s="249">
        <f>'Init 12'!J21+'Init 12'!J22</f>
        <v>0</v>
      </c>
      <c r="F59" s="250">
        <f>'Init 12'!K21+'Init 12'!K22</f>
        <v>0</v>
      </c>
    </row>
    <row r="60" spans="1:6" outlineLevel="1" x14ac:dyDescent="0.25">
      <c r="A60" s="235" t="s">
        <v>442</v>
      </c>
      <c r="B60" s="249">
        <f>'Init 12'!G23</f>
        <v>0</v>
      </c>
      <c r="C60" s="249">
        <f>'Init 12'!H23</f>
        <v>0</v>
      </c>
      <c r="D60" s="249">
        <f>'Init 12'!I23</f>
        <v>0</v>
      </c>
      <c r="E60" s="249">
        <f>'Init 12'!J23</f>
        <v>0</v>
      </c>
      <c r="F60" s="250">
        <f>'Init 12'!K23</f>
        <v>0</v>
      </c>
    </row>
    <row r="61" spans="1:6" outlineLevel="1" x14ac:dyDescent="0.25">
      <c r="A61" s="235" t="s">
        <v>61</v>
      </c>
      <c r="B61" s="249">
        <f>'Init 12'!G24</f>
        <v>0.30769230769230771</v>
      </c>
      <c r="C61" s="249">
        <f>'Init 12'!H24</f>
        <v>0</v>
      </c>
      <c r="D61" s="249">
        <f>'Init 12'!I24</f>
        <v>0</v>
      </c>
      <c r="E61" s="249">
        <f>'Init 12'!J24</f>
        <v>0</v>
      </c>
      <c r="F61" s="250">
        <f>'Init 12'!K24</f>
        <v>0</v>
      </c>
    </row>
    <row r="62" spans="1:6" ht="15.75" outlineLevel="1" thickBot="1" x14ac:dyDescent="0.3">
      <c r="A62" s="235" t="s">
        <v>443</v>
      </c>
      <c r="B62" s="249">
        <f>'Init 12'!G27+'Init 12'!G28</f>
        <v>0</v>
      </c>
      <c r="C62" s="249">
        <f>'Init 12'!H27+'Init 12'!H28</f>
        <v>0</v>
      </c>
      <c r="D62" s="249">
        <f>'Init 12'!I27+'Init 12'!I28</f>
        <v>0</v>
      </c>
      <c r="E62" s="249">
        <f>'Init 12'!J27+'Init 12'!J28</f>
        <v>0</v>
      </c>
      <c r="F62" s="250">
        <f>'Init 12'!K27+'Init 12'!K28</f>
        <v>0</v>
      </c>
    </row>
    <row r="63" spans="1:6" s="188" customFormat="1" x14ac:dyDescent="0.25">
      <c r="A63" s="234" t="s">
        <v>332</v>
      </c>
      <c r="B63" s="247">
        <f>SUM(B64:B67)</f>
        <v>0.7004807692307693</v>
      </c>
      <c r="C63" s="247">
        <f t="shared" ref="C63" si="45">SUM(C64:C67)</f>
        <v>0.17451923076923076</v>
      </c>
      <c r="D63" s="247">
        <f t="shared" ref="D63" si="46">SUM(D64:D67)</f>
        <v>0</v>
      </c>
      <c r="E63" s="247">
        <f t="shared" ref="E63" si="47">SUM(E64:E67)</f>
        <v>0</v>
      </c>
      <c r="F63" s="248">
        <f t="shared" ref="F63" si="48">SUM(F64:F67)</f>
        <v>0</v>
      </c>
    </row>
    <row r="64" spans="1:6" outlineLevel="1" x14ac:dyDescent="0.25">
      <c r="A64" s="241" t="s">
        <v>441</v>
      </c>
      <c r="B64" s="249">
        <f>'Init 13'!G21+'Init 13'!G22</f>
        <v>0.10336538461538461</v>
      </c>
      <c r="C64" s="249">
        <f>'Init 13'!H21+'Init 13'!H22</f>
        <v>2.1634615384615384E-2</v>
      </c>
      <c r="D64" s="249">
        <f>'Init 13'!I21+'Init 13'!I22</f>
        <v>0</v>
      </c>
      <c r="E64" s="249">
        <f>'Init 13'!J21+'Init 13'!J22</f>
        <v>0</v>
      </c>
      <c r="F64" s="250">
        <f>'Init 13'!K21+'Init 13'!K22</f>
        <v>0</v>
      </c>
    </row>
    <row r="65" spans="1:6" outlineLevel="1" x14ac:dyDescent="0.25">
      <c r="A65" s="241" t="s">
        <v>442</v>
      </c>
      <c r="B65" s="249">
        <v>0.45769230769230768</v>
      </c>
      <c r="C65" s="249">
        <v>9.5192307692307687E-2</v>
      </c>
      <c r="D65" s="249">
        <v>0</v>
      </c>
      <c r="E65" s="249">
        <v>0</v>
      </c>
      <c r="F65" s="250">
        <v>0</v>
      </c>
    </row>
    <row r="66" spans="1:6" outlineLevel="1" x14ac:dyDescent="0.25">
      <c r="A66" s="241" t="s">
        <v>61</v>
      </c>
      <c r="B66" s="249">
        <f>'Init 13'!G24</f>
        <v>0.13942307692307693</v>
      </c>
      <c r="C66" s="249">
        <f>'Init 13'!H24</f>
        <v>5.7692307692307696E-2</v>
      </c>
      <c r="D66" s="249">
        <f>'Init 13'!I24</f>
        <v>0</v>
      </c>
      <c r="E66" s="249">
        <f>'Init 13'!J24</f>
        <v>0</v>
      </c>
      <c r="F66" s="250">
        <f>'Init 13'!K24</f>
        <v>0</v>
      </c>
    </row>
    <row r="67" spans="1:6" ht="15.75" outlineLevel="1" thickBot="1" x14ac:dyDescent="0.3">
      <c r="A67" s="241" t="s">
        <v>443</v>
      </c>
      <c r="B67" s="249">
        <f>'Init 13'!G27+'Init 13'!G28</f>
        <v>0</v>
      </c>
      <c r="C67" s="249">
        <f>'Init 13'!H27+'Init 13'!H28</f>
        <v>0</v>
      </c>
      <c r="D67" s="249">
        <f>'Init 13'!I27+'Init 13'!I28</f>
        <v>0</v>
      </c>
      <c r="E67" s="249">
        <f>'Init 13'!J27+'Init 13'!J28</f>
        <v>0</v>
      </c>
      <c r="F67" s="250">
        <f>'Init 13'!K27+'Init 13'!K28</f>
        <v>0</v>
      </c>
    </row>
    <row r="68" spans="1:6" s="188" customFormat="1" x14ac:dyDescent="0.25">
      <c r="A68" s="263" t="s">
        <v>457</v>
      </c>
      <c r="B68" s="247">
        <f>SUM(B69:B72)</f>
        <v>0.61153846153846148</v>
      </c>
      <c r="C68" s="247">
        <f t="shared" ref="C68" si="49">SUM(C69:C72)</f>
        <v>0</v>
      </c>
      <c r="D68" s="247">
        <f t="shared" ref="D68" si="50">SUM(D69:D72)</f>
        <v>0</v>
      </c>
      <c r="E68" s="247">
        <f t="shared" ref="E68" si="51">SUM(E69:E72)</f>
        <v>0</v>
      </c>
      <c r="F68" s="248">
        <f t="shared" ref="F68" si="52">SUM(F69:F72)</f>
        <v>0</v>
      </c>
    </row>
    <row r="69" spans="1:6" outlineLevel="1" x14ac:dyDescent="0.25">
      <c r="A69" s="241" t="s">
        <v>441</v>
      </c>
      <c r="B69" s="249">
        <f>'Init 14'!G21+'Init 14'!G22</f>
        <v>0.23317307692307693</v>
      </c>
      <c r="C69" s="249">
        <f>'Init 14'!H21+'Init 14'!H22</f>
        <v>0</v>
      </c>
      <c r="D69" s="249">
        <f>'Init 14'!I21+'Init 14'!I22</f>
        <v>0</v>
      </c>
      <c r="E69" s="249">
        <f>'Init 14'!J21+'Init 14'!J22</f>
        <v>0</v>
      </c>
      <c r="F69" s="250">
        <f>'Init 14'!K21+'Init 14'!K22</f>
        <v>0</v>
      </c>
    </row>
    <row r="70" spans="1:6" outlineLevel="1" x14ac:dyDescent="0.25">
      <c r="A70" s="241" t="s">
        <v>442</v>
      </c>
      <c r="B70" s="249">
        <v>0.19471153846153844</v>
      </c>
      <c r="C70" s="249">
        <v>0</v>
      </c>
      <c r="D70" s="249">
        <v>0</v>
      </c>
      <c r="E70" s="249">
        <v>0</v>
      </c>
      <c r="F70" s="250">
        <v>0</v>
      </c>
    </row>
    <row r="71" spans="1:6" outlineLevel="1" x14ac:dyDescent="0.25">
      <c r="A71" s="241" t="s">
        <v>61</v>
      </c>
      <c r="B71" s="249">
        <f>'Init 14'!G24</f>
        <v>3.4615384615384617E-2</v>
      </c>
      <c r="C71" s="249">
        <f>'Init 14'!H24</f>
        <v>0</v>
      </c>
      <c r="D71" s="249">
        <f>'Init 14'!I24</f>
        <v>0</v>
      </c>
      <c r="E71" s="249">
        <f>'Init 14'!J24</f>
        <v>0</v>
      </c>
      <c r="F71" s="250">
        <f>'Init 14'!K24</f>
        <v>0</v>
      </c>
    </row>
    <row r="72" spans="1:6" ht="15.75" outlineLevel="1" thickBot="1" x14ac:dyDescent="0.3">
      <c r="A72" s="241" t="s">
        <v>443</v>
      </c>
      <c r="B72" s="249">
        <f>'Init 14'!G27+'Init 14'!G28</f>
        <v>0.14903846153846154</v>
      </c>
      <c r="C72" s="249">
        <f>'Init 14'!H27+'Init 14'!H28</f>
        <v>0</v>
      </c>
      <c r="D72" s="249">
        <f>'Init 14'!I27+'Init 14'!I28</f>
        <v>0</v>
      </c>
      <c r="E72" s="249">
        <f>'Init 14'!J27+'Init 14'!J28</f>
        <v>0</v>
      </c>
      <c r="F72" s="250">
        <f>'Init 14'!K27+'Init 14'!K28</f>
        <v>0</v>
      </c>
    </row>
    <row r="73" spans="1:6" s="188" customFormat="1" x14ac:dyDescent="0.25">
      <c r="A73" s="234" t="s">
        <v>455</v>
      </c>
      <c r="B73" s="247">
        <f>SUM(B74:B77)</f>
        <v>13.5</v>
      </c>
      <c r="C73" s="247">
        <f t="shared" ref="C73" si="53">SUM(C74:C77)</f>
        <v>24</v>
      </c>
      <c r="D73" s="247">
        <f t="shared" ref="D73" si="54">SUM(D74:D77)</f>
        <v>24</v>
      </c>
      <c r="E73" s="247">
        <f t="shared" ref="E73" si="55">SUM(E74:E77)</f>
        <v>24</v>
      </c>
      <c r="F73" s="248">
        <f t="shared" ref="F73" si="56">SUM(F74:F77)</f>
        <v>24</v>
      </c>
    </row>
    <row r="74" spans="1:6" outlineLevel="1" x14ac:dyDescent="0.25">
      <c r="A74" s="235" t="s">
        <v>441</v>
      </c>
      <c r="B74" s="249">
        <f>'Init 15'!G21+'Init 15'!G22</f>
        <v>0</v>
      </c>
      <c r="C74" s="249">
        <f>'Init 15'!H21+'Init 15'!H22</f>
        <v>0</v>
      </c>
      <c r="D74" s="249">
        <f>'Init 15'!I21+'Init 15'!I22</f>
        <v>0</v>
      </c>
      <c r="E74" s="249">
        <f>'Init 15'!J21+'Init 15'!J22</f>
        <v>0</v>
      </c>
      <c r="F74" s="250">
        <f>'Init 15'!K21+'Init 15'!K22</f>
        <v>0</v>
      </c>
    </row>
    <row r="75" spans="1:6" outlineLevel="1" x14ac:dyDescent="0.25">
      <c r="A75" s="235" t="s">
        <v>442</v>
      </c>
      <c r="B75" s="249">
        <f>'Init 15'!G23</f>
        <v>0</v>
      </c>
      <c r="C75" s="249">
        <f>'Init 15'!H23</f>
        <v>0</v>
      </c>
      <c r="D75" s="249">
        <f>'Init 15'!I23</f>
        <v>0</v>
      </c>
      <c r="E75" s="249">
        <f>'Init 15'!J23</f>
        <v>0</v>
      </c>
      <c r="F75" s="250">
        <f>'Init 15'!K23</f>
        <v>0</v>
      </c>
    </row>
    <row r="76" spans="1:6" outlineLevel="1" x14ac:dyDescent="0.25">
      <c r="A76" s="235" t="s">
        <v>61</v>
      </c>
      <c r="B76" s="249">
        <f>'Init 15'!G24</f>
        <v>13.5</v>
      </c>
      <c r="C76" s="249">
        <f>'Init 15'!H24</f>
        <v>24</v>
      </c>
      <c r="D76" s="249">
        <f>'Init 15'!I24</f>
        <v>24</v>
      </c>
      <c r="E76" s="249">
        <f>'Init 15'!J24</f>
        <v>24</v>
      </c>
      <c r="F76" s="250">
        <f>'Init 15'!K24</f>
        <v>24</v>
      </c>
    </row>
    <row r="77" spans="1:6" ht="15.75" outlineLevel="1" thickBot="1" x14ac:dyDescent="0.3">
      <c r="A77" s="235" t="s">
        <v>443</v>
      </c>
      <c r="B77" s="249">
        <f>'Init 15'!G27+'Init 15'!G28</f>
        <v>0</v>
      </c>
      <c r="C77" s="249">
        <f>'Init 15'!H27+'Init 15'!H28</f>
        <v>0</v>
      </c>
      <c r="D77" s="249">
        <f>'Init 15'!I27+'Init 15'!I28</f>
        <v>0</v>
      </c>
      <c r="E77" s="249">
        <f>'Init 15'!J27+'Init 15'!J28</f>
        <v>0</v>
      </c>
      <c r="F77" s="250">
        <f>'Init 15'!K27+'Init 15'!K28</f>
        <v>0</v>
      </c>
    </row>
    <row r="78" spans="1:6" s="50" customFormat="1" ht="13.5" thickBot="1" x14ac:dyDescent="0.25">
      <c r="A78" s="193" t="s">
        <v>451</v>
      </c>
      <c r="B78" s="226">
        <f>B8+B13+B23+B18+B48+B43+B28+B53+B58+B63+B68+B33+B38+B3+B73</f>
        <v>46.298211538461537</v>
      </c>
      <c r="C78" s="226">
        <f>C8+C13+C23+C18+C48+C43+C28+C53+C58+C63+C68+C33+C38+C3+C73</f>
        <v>47.090673076923075</v>
      </c>
      <c r="D78" s="226">
        <f>D8+D13+D23+D18+D48+D43+D28+D53+D58+D63+D68+D33+D38+D3+D73</f>
        <v>42.916153846153847</v>
      </c>
      <c r="E78" s="226">
        <f>E8+E13+E23+E18+E48+E43+E28+E53+E58+E63+E68+E33+E38+E3+E73</f>
        <v>41.916153846153847</v>
      </c>
      <c r="F78" s="226">
        <f>F8+F13+F23+F18+F48+F43+F28+F53+F58+F63+F68+F33+F38+F3+F73</f>
        <v>41.921923076923079</v>
      </c>
    </row>
    <row r="80" spans="1:6" ht="15.75" thickBot="1" x14ac:dyDescent="0.3"/>
    <row r="81" spans="1:6" ht="15.75" thickBot="1" x14ac:dyDescent="0.3">
      <c r="A81" s="193" t="s">
        <v>444</v>
      </c>
      <c r="B81" s="251">
        <f>B3+B8+B13+B18+B23+B28+B33+B38+B43+B48+B53+B58+B63+B68+B73</f>
        <v>46.298211538461537</v>
      </c>
      <c r="C81" s="251">
        <f>ROUNDUP(C3+C8+C13+C18+C23+C28+C33+C38+C43+C48+C53+C58+C63+C68+C73,1)</f>
        <v>47.1</v>
      </c>
      <c r="D81" s="251">
        <f t="shared" ref="D81:F81" si="57">D3+D8+D13+D18+D23+D28+D33+D38+D43+D48+D53+D58+D63+D68+D73</f>
        <v>42.916153846153847</v>
      </c>
      <c r="E81" s="251">
        <f t="shared" si="57"/>
        <v>41.916153846153847</v>
      </c>
      <c r="F81" s="252">
        <f t="shared" si="57"/>
        <v>41.921923076923079</v>
      </c>
    </row>
    <row r="82" spans="1:6" x14ac:dyDescent="0.25">
      <c r="A82" s="253" t="s">
        <v>441</v>
      </c>
      <c r="B82" s="254">
        <f>B4+B9+B14+B19+B24+B29+B34+B39+B44+B49+B54+B59+B64+B69+B74</f>
        <v>9.4386923076923068</v>
      </c>
      <c r="C82" s="254">
        <f t="shared" ref="C82:F85" si="58">C4+C9+C14+C19+C24+C29+C34+C39+C44+C49+C54+C59+C64+C69+C74</f>
        <v>5.6512499999999992</v>
      </c>
      <c r="D82" s="254">
        <f t="shared" si="58"/>
        <v>5.6296153846153842</v>
      </c>
      <c r="E82" s="254">
        <f t="shared" si="58"/>
        <v>5.1296153846153842</v>
      </c>
      <c r="F82" s="255">
        <f t="shared" si="58"/>
        <v>5.1296153846153842</v>
      </c>
    </row>
    <row r="83" spans="1:6" x14ac:dyDescent="0.25">
      <c r="A83" s="235" t="s">
        <v>442</v>
      </c>
      <c r="B83" s="256">
        <f>B5+B10+B15+B20+B25+B30+B35+B40+B45+B50+B55+B60+B65+B70+B75</f>
        <v>2.3408653846153848</v>
      </c>
      <c r="C83" s="257">
        <f t="shared" si="58"/>
        <v>1.1409615384615384</v>
      </c>
      <c r="D83" s="257">
        <f t="shared" si="58"/>
        <v>1.0457692307692308</v>
      </c>
      <c r="E83" s="257">
        <f t="shared" si="58"/>
        <v>1.0457692307692308</v>
      </c>
      <c r="F83" s="258">
        <f t="shared" si="58"/>
        <v>1.0457692307692308</v>
      </c>
    </row>
    <row r="84" spans="1:6" x14ac:dyDescent="0.25">
      <c r="A84" s="235" t="s">
        <v>61</v>
      </c>
      <c r="B84" s="256">
        <f>B6+B11+B16+B21+B26+B31+B36+B41+B46+B51+B56+B61+B66+B71+B76</f>
        <v>15.4625</v>
      </c>
      <c r="C84" s="257">
        <f t="shared" si="58"/>
        <v>27.432692307692307</v>
      </c>
      <c r="D84" s="257">
        <f t="shared" si="58"/>
        <v>25.375</v>
      </c>
      <c r="E84" s="257">
        <f t="shared" si="58"/>
        <v>25.375</v>
      </c>
      <c r="F84" s="258">
        <f t="shared" si="58"/>
        <v>25.375</v>
      </c>
    </row>
    <row r="85" spans="1:6" ht="15.75" thickBot="1" x14ac:dyDescent="0.3">
      <c r="A85" s="237" t="s">
        <v>443</v>
      </c>
      <c r="B85" s="259">
        <f>B7+B12+B17+B22+B27+B32+B37+B42+B47+B52+B57+B62+B67+B72+B77</f>
        <v>19.056153846153844</v>
      </c>
      <c r="C85" s="259">
        <f t="shared" si="58"/>
        <v>12.865769230769232</v>
      </c>
      <c r="D85" s="259">
        <f t="shared" si="58"/>
        <v>10.865769230769232</v>
      </c>
      <c r="E85" s="259">
        <f t="shared" si="58"/>
        <v>10.365769230769232</v>
      </c>
      <c r="F85" s="260">
        <f t="shared" si="58"/>
        <v>10.371538461538462</v>
      </c>
    </row>
    <row r="86" spans="1:6" x14ac:dyDescent="0.25">
      <c r="B86" s="231"/>
      <c r="C86" s="231"/>
      <c r="D86" s="231"/>
      <c r="E86" s="231"/>
      <c r="F86" s="229"/>
    </row>
    <row r="87" spans="1:6" x14ac:dyDescent="0.25">
      <c r="B87" s="266"/>
      <c r="C87" s="266"/>
      <c r="D87" s="266"/>
      <c r="E87" s="231"/>
      <c r="F87" s="229"/>
    </row>
  </sheetData>
  <pageMargins left="0.7" right="0.7" top="0.75" bottom="0.75" header="0.3" footer="0.3"/>
  <pageSetup scale="96" fitToHeight="0" orientation="landscape" r:id="rId1"/>
  <ignoredErrors>
    <ignoredError sqref="C8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26"/>
  <sheetViews>
    <sheetView zoomScale="80" zoomScaleNormal="80" workbookViewId="0"/>
  </sheetViews>
  <sheetFormatPr defaultRowHeight="12.75" x14ac:dyDescent="0.2"/>
  <cols>
    <col min="1" max="1" width="23" style="50" customWidth="1"/>
    <col min="2" max="2" width="43.7109375" style="50" bestFit="1" customWidth="1"/>
    <col min="3" max="3" width="84.5703125" style="1" bestFit="1" customWidth="1"/>
    <col min="4" max="4" width="28.28515625" style="37" bestFit="1" customWidth="1"/>
    <col min="5" max="5" width="20.5703125" style="16" bestFit="1" customWidth="1"/>
    <col min="6" max="6" width="17.85546875" style="16" hidden="1" customWidth="1"/>
    <col min="7" max="7" width="16.7109375" style="1" bestFit="1" customWidth="1"/>
    <col min="8" max="8" width="17.140625" style="1" bestFit="1" customWidth="1"/>
    <col min="9" max="9" width="17.42578125" style="1" bestFit="1" customWidth="1"/>
    <col min="10" max="11" width="17.85546875" style="1" bestFit="1" customWidth="1"/>
    <col min="12" max="16384" width="9.140625" style="1"/>
  </cols>
  <sheetData>
    <row r="1" spans="1:11" x14ac:dyDescent="0.2">
      <c r="A1" s="50" t="s">
        <v>446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f>SUM(G47*G60)/52</f>
        <v>1</v>
      </c>
      <c r="H19" s="90">
        <f t="shared" ref="H19:K19" si="2">SUM(H47*H60)/52</f>
        <v>1</v>
      </c>
      <c r="I19" s="69">
        <f t="shared" si="2"/>
        <v>1</v>
      </c>
      <c r="J19" s="90">
        <f t="shared" si="2"/>
        <v>1</v>
      </c>
      <c r="K19" s="112">
        <f t="shared" si="2"/>
        <v>1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f>SUM(G49*G62)/52</f>
        <v>2</v>
      </c>
      <c r="H20" s="93">
        <f t="shared" ref="H20:K20" si="3">SUM(H49*H62)/52</f>
        <v>1</v>
      </c>
      <c r="I20" s="73">
        <f t="shared" si="3"/>
        <v>1</v>
      </c>
      <c r="J20" s="93">
        <f t="shared" si="3"/>
        <v>1</v>
      </c>
      <c r="K20" s="115">
        <f t="shared" si="3"/>
        <v>1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SUM(G52*G65,G54*G67,G58*G71)/52</f>
        <v>0.875</v>
      </c>
      <c r="H21" s="93">
        <f t="shared" ref="H21:J21" si="4">SUM(H52*H65,H54*H67,H58*H71)/52</f>
        <v>1</v>
      </c>
      <c r="I21" s="73">
        <f t="shared" si="4"/>
        <v>1</v>
      </c>
      <c r="J21" s="93">
        <f t="shared" si="4"/>
        <v>0.5</v>
      </c>
      <c r="K21" s="115">
        <f>SUM(K52*K65,K54*K67,K58*K71)/52</f>
        <v>0.5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SUM(G51*G64,G53*G66,G55*G68,G56*G69,G57*G70,G59*G72)/52</f>
        <v>1.0096153846153846</v>
      </c>
      <c r="H28" s="93">
        <f t="shared" ref="H28:K28" si="5">SUM(H51*H64,H53*H66,H55*H68,H56*H69,H57*H70,H59*H72)/52</f>
        <v>1</v>
      </c>
      <c r="I28" s="73">
        <f t="shared" si="5"/>
        <v>1</v>
      </c>
      <c r="J28" s="93">
        <f t="shared" si="5"/>
        <v>0.5</v>
      </c>
      <c r="K28" s="115">
        <f t="shared" si="5"/>
        <v>0.5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f>SUM(G48*G61)/52</f>
        <v>0.76923076923076927</v>
      </c>
      <c r="H29" s="93">
        <f t="shared" ref="H29:K29" si="6">SUM(H48*H61)/52</f>
        <v>1</v>
      </c>
      <c r="I29" s="73">
        <f t="shared" si="6"/>
        <v>1</v>
      </c>
      <c r="J29" s="93">
        <f t="shared" si="6"/>
        <v>1</v>
      </c>
      <c r="K29" s="115">
        <f t="shared" si="6"/>
        <v>1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f>SUM(G50*G63)/52</f>
        <v>1.5384615384615385</v>
      </c>
      <c r="H30" s="93">
        <f t="shared" ref="H30:K30" si="7">SUM(H50*H63)/52</f>
        <v>1</v>
      </c>
      <c r="I30" s="73">
        <f t="shared" si="7"/>
        <v>1</v>
      </c>
      <c r="J30" s="93">
        <f t="shared" si="7"/>
        <v>1</v>
      </c>
      <c r="K30" s="115">
        <f t="shared" si="7"/>
        <v>1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8</v>
      </c>
      <c r="H31" s="92">
        <f t="shared" ref="H31:K31" si="8">ROUND(H19,0)+ROUND(H20,0)+ROUND(H21,0)+ROUND(H22,0)+ROUND(H23,0)+ROUND(H24,0)+ROUND(H25,0)+ROUND(H26,0)+ROUND(H27,0)+ROUND(H28,0)+ROUND(H29,0)+ROUND(H30,0)</f>
        <v>6</v>
      </c>
      <c r="I31" s="71">
        <f t="shared" si="8"/>
        <v>6</v>
      </c>
      <c r="J31" s="92">
        <f t="shared" si="8"/>
        <v>6</v>
      </c>
      <c r="K31" s="114">
        <f t="shared" si="8"/>
        <v>6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G47+G49+G52+G54+G58</f>
        <v>5.5</v>
      </c>
      <c r="H32" s="90">
        <f t="shared" ref="H32:K32" si="9">H47+H49+H52+H54+H58</f>
        <v>3</v>
      </c>
      <c r="I32" s="69">
        <f t="shared" si="9"/>
        <v>3</v>
      </c>
      <c r="J32" s="90">
        <f t="shared" si="9"/>
        <v>3</v>
      </c>
      <c r="K32" s="112">
        <f t="shared" si="9"/>
        <v>3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6</v>
      </c>
      <c r="H38" s="93">
        <f t="shared" ref="H38:K38" si="10">ROUNDUP(H32+H33+H34+H35+H36-H37,0)</f>
        <v>3</v>
      </c>
      <c r="I38" s="73">
        <f t="shared" si="10"/>
        <v>3</v>
      </c>
      <c r="J38" s="93">
        <f t="shared" si="10"/>
        <v>3</v>
      </c>
      <c r="K38" s="115">
        <f t="shared" si="10"/>
        <v>3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1</v>
      </c>
      <c r="I39" s="73">
        <v>2</v>
      </c>
      <c r="J39" s="93">
        <v>3</v>
      </c>
      <c r="K39" s="115">
        <v>4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1">H39</f>
        <v>1</v>
      </c>
      <c r="I40" s="73">
        <f t="shared" si="11"/>
        <v>2</v>
      </c>
      <c r="J40" s="93">
        <f t="shared" si="11"/>
        <v>3</v>
      </c>
      <c r="K40" s="115">
        <f t="shared" si="11"/>
        <v>4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12">IF(H40-H39&gt;0,H40-H39,0)</f>
        <v>0</v>
      </c>
      <c r="I41" s="73">
        <f t="shared" si="12"/>
        <v>0</v>
      </c>
      <c r="J41" s="93">
        <f t="shared" si="12"/>
        <v>0</v>
      </c>
      <c r="K41" s="115">
        <f t="shared" si="12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13">H41</f>
        <v>0</v>
      </c>
      <c r="I42" s="73">
        <f t="shared" si="13"/>
        <v>0</v>
      </c>
      <c r="J42" s="93">
        <f t="shared" si="13"/>
        <v>0</v>
      </c>
      <c r="K42" s="115">
        <f t="shared" si="13"/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4</v>
      </c>
      <c r="H43" s="93">
        <f t="shared" ref="H43:K43" si="14">ROUND(H21,0)+ROUND(H22,0)+ROUND(H23,0)+ROUND(H24,0)+ROUND(H25,0)+ROUND(H26,0)-ROUND(H36,0)+ROUND(H19,0)+ROUND(H20,0)</f>
        <v>3</v>
      </c>
      <c r="I43" s="73">
        <f t="shared" si="14"/>
        <v>3</v>
      </c>
      <c r="J43" s="93">
        <f t="shared" si="14"/>
        <v>3</v>
      </c>
      <c r="K43" s="115">
        <f t="shared" si="14"/>
        <v>3</v>
      </c>
    </row>
    <row r="44" spans="1:11" x14ac:dyDescent="0.2">
      <c r="A44" s="167"/>
      <c r="B44" s="168"/>
      <c r="C44" s="3" t="s">
        <v>409</v>
      </c>
      <c r="D44" s="39" t="s">
        <v>98</v>
      </c>
      <c r="E44" s="17"/>
      <c r="F44" s="17" t="s">
        <v>98</v>
      </c>
      <c r="G44" s="73">
        <f>G43</f>
        <v>4</v>
      </c>
      <c r="H44" s="93">
        <f>IF(H43-G43&gt;0,H43-G43,0)</f>
        <v>0</v>
      </c>
      <c r="I44" s="73">
        <f t="shared" ref="I44:K44" si="15">IF(I43-H43&gt;0,I43-H43,0)</f>
        <v>0</v>
      </c>
      <c r="J44" s="93">
        <f t="shared" si="15"/>
        <v>0</v>
      </c>
      <c r="K44" s="115">
        <f t="shared" si="15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4</v>
      </c>
      <c r="H45" s="93">
        <f t="shared" ref="H45:K45" si="16">ROUND(H27,0)+ROUND(H28,0)+ROUND(H29,0)+ROUND(H30,0)</f>
        <v>3</v>
      </c>
      <c r="I45" s="73">
        <f t="shared" si="16"/>
        <v>3</v>
      </c>
      <c r="J45" s="93">
        <f t="shared" si="16"/>
        <v>3</v>
      </c>
      <c r="K45" s="115">
        <f t="shared" si="16"/>
        <v>3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4</v>
      </c>
      <c r="H46" s="92">
        <f>IF(H45-G45&gt;0,H45-G45,0)</f>
        <v>0</v>
      </c>
      <c r="I46" s="71">
        <f t="shared" ref="I46:K46" si="17">IF(I45-H45&gt;0,I45-H45,0)</f>
        <v>0</v>
      </c>
      <c r="J46" s="92">
        <f t="shared" si="17"/>
        <v>0</v>
      </c>
      <c r="K46" s="114">
        <f t="shared" si="17"/>
        <v>0</v>
      </c>
    </row>
    <row r="47" spans="1:11" x14ac:dyDescent="0.2">
      <c r="A47" s="48" t="s">
        <v>317</v>
      </c>
      <c r="B47" s="168" t="s">
        <v>318</v>
      </c>
      <c r="C47" s="13" t="s">
        <v>290</v>
      </c>
      <c r="D47" s="40" t="s">
        <v>98</v>
      </c>
      <c r="E47" s="19"/>
      <c r="F47" s="19" t="s">
        <v>98</v>
      </c>
      <c r="G47" s="70">
        <f>ROUNDUP(G49*Assumptions!$B$7,0)</f>
        <v>1</v>
      </c>
      <c r="H47" s="91">
        <f>ROUNDUP(H49*Assumptions!$B$7,0)</f>
        <v>1</v>
      </c>
      <c r="I47" s="70">
        <f>ROUNDUP(I49*Assumptions!$B$7,0)</f>
        <v>1</v>
      </c>
      <c r="J47" s="91">
        <f>ROUNDUP(J49*Assumptions!$B$7,0)</f>
        <v>1</v>
      </c>
      <c r="K47" s="113">
        <f>ROUNDUP(K49*Assumptions!$B$7,0)</f>
        <v>1</v>
      </c>
    </row>
    <row r="48" spans="1:11" x14ac:dyDescent="0.2">
      <c r="A48" s="48"/>
      <c r="B48" s="168"/>
      <c r="C48" s="3" t="s">
        <v>292</v>
      </c>
      <c r="D48" s="39" t="s">
        <v>98</v>
      </c>
      <c r="E48" s="17"/>
      <c r="F48" s="17" t="s">
        <v>98</v>
      </c>
      <c r="G48" s="73">
        <f>ROUNDUP(G50*Assumptions!$B$7,0)</f>
        <v>1</v>
      </c>
      <c r="H48" s="93">
        <f>ROUNDUP(H50*Assumptions!$B$7,0)</f>
        <v>1</v>
      </c>
      <c r="I48" s="73">
        <f>ROUNDUP(I50*Assumptions!$B$7,0)</f>
        <v>1</v>
      </c>
      <c r="J48" s="93">
        <f>ROUNDUP(J50*Assumptions!$B$7,0)</f>
        <v>1</v>
      </c>
      <c r="K48" s="115">
        <f>ROUNDUP(K50*Assumptions!$B$7,0)</f>
        <v>1</v>
      </c>
    </row>
    <row r="49" spans="1:11" x14ac:dyDescent="0.2">
      <c r="A49" s="48"/>
      <c r="B49" s="168"/>
      <c r="C49" s="14" t="s">
        <v>291</v>
      </c>
      <c r="D49" s="39" t="s">
        <v>98</v>
      </c>
      <c r="E49" s="17"/>
      <c r="F49" s="17" t="s">
        <v>98</v>
      </c>
      <c r="G49" s="73">
        <f>ROUNDUP(36*Assumptions!$B$6,0)</f>
        <v>2</v>
      </c>
      <c r="H49" s="93">
        <f>ROUNDUP(19*Assumptions!$B$6,0)</f>
        <v>1</v>
      </c>
      <c r="I49" s="73">
        <f>ROUNDUP(19*Assumptions!$B$6,0)</f>
        <v>1</v>
      </c>
      <c r="J49" s="93">
        <f>ROUNDUP(18*Assumptions!$B$6,0)</f>
        <v>1</v>
      </c>
      <c r="K49" s="115">
        <f>ROUNDUP(18*Assumptions!$B$6,0)</f>
        <v>1</v>
      </c>
    </row>
    <row r="50" spans="1:11" x14ac:dyDescent="0.2">
      <c r="A50" s="48"/>
      <c r="B50" s="168"/>
      <c r="C50" s="14" t="s">
        <v>293</v>
      </c>
      <c r="D50" s="39" t="s">
        <v>98</v>
      </c>
      <c r="E50" s="17"/>
      <c r="F50" s="17" t="s">
        <v>98</v>
      </c>
      <c r="G50" s="73">
        <f>ROUNDUP(36*Assumptions!$B$6,0)</f>
        <v>2</v>
      </c>
      <c r="H50" s="93">
        <f>ROUNDUP(19*Assumptions!$B$6,0)</f>
        <v>1</v>
      </c>
      <c r="I50" s="73">
        <f>ROUNDUP(19*Assumptions!$B$6,0)</f>
        <v>1</v>
      </c>
      <c r="J50" s="93">
        <f>ROUNDUP(18*Assumptions!$B$6,0)</f>
        <v>1</v>
      </c>
      <c r="K50" s="115">
        <f>ROUNDUP(18*Assumptions!$B$6,0)</f>
        <v>1</v>
      </c>
    </row>
    <row r="51" spans="1:11" x14ac:dyDescent="0.2">
      <c r="A51" s="48"/>
      <c r="B51" s="168"/>
      <c r="C51" s="3" t="s">
        <v>305</v>
      </c>
      <c r="D51" s="39" t="s">
        <v>98</v>
      </c>
      <c r="E51" s="17"/>
      <c r="F51" s="17" t="s">
        <v>98</v>
      </c>
      <c r="G51" s="73">
        <v>1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3" t="s">
        <v>306</v>
      </c>
      <c r="D52" s="39" t="s">
        <v>98</v>
      </c>
      <c r="E52" s="17"/>
      <c r="F52" s="17" t="s">
        <v>98</v>
      </c>
      <c r="G52" s="73">
        <v>1.25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3" t="s">
        <v>307</v>
      </c>
      <c r="D53" s="39" t="s">
        <v>98</v>
      </c>
      <c r="E53" s="17"/>
      <c r="F53" s="17" t="s">
        <v>98</v>
      </c>
      <c r="G53" s="73">
        <v>1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3" t="s">
        <v>308</v>
      </c>
      <c r="D54" s="39" t="s">
        <v>98</v>
      </c>
      <c r="E54" s="17"/>
      <c r="F54" s="17" t="s">
        <v>98</v>
      </c>
      <c r="G54" s="73">
        <v>0.25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3" t="s">
        <v>309</v>
      </c>
      <c r="D55" s="39" t="s">
        <v>98</v>
      </c>
      <c r="E55" s="17"/>
      <c r="F55" s="17" t="s">
        <v>98</v>
      </c>
      <c r="G55" s="73">
        <v>1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3" t="s">
        <v>310</v>
      </c>
      <c r="D56" s="39" t="s">
        <v>98</v>
      </c>
      <c r="E56" s="17"/>
      <c r="F56" s="17" t="s">
        <v>98</v>
      </c>
      <c r="G56" s="73">
        <v>1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168"/>
      <c r="C57" s="11" t="s">
        <v>311</v>
      </c>
      <c r="D57" s="39" t="s">
        <v>98</v>
      </c>
      <c r="E57" s="18"/>
      <c r="F57" s="17" t="s">
        <v>98</v>
      </c>
      <c r="G57" s="145">
        <v>0.75</v>
      </c>
      <c r="H57" s="146">
        <v>0</v>
      </c>
      <c r="I57" s="145">
        <v>0</v>
      </c>
      <c r="J57" s="146">
        <v>0</v>
      </c>
      <c r="K57" s="147">
        <v>0</v>
      </c>
    </row>
    <row r="58" spans="1:11" x14ac:dyDescent="0.2">
      <c r="A58" s="48"/>
      <c r="B58" s="168"/>
      <c r="C58" s="151" t="s">
        <v>289</v>
      </c>
      <c r="D58" s="39" t="s">
        <v>98</v>
      </c>
      <c r="E58" s="18"/>
      <c r="F58" s="17" t="s">
        <v>98</v>
      </c>
      <c r="G58" s="145">
        <v>1</v>
      </c>
      <c r="H58" s="146">
        <v>1</v>
      </c>
      <c r="I58" s="145">
        <v>1</v>
      </c>
      <c r="J58" s="146">
        <v>1</v>
      </c>
      <c r="K58" s="147">
        <v>1</v>
      </c>
    </row>
    <row r="59" spans="1:11" ht="13.5" thickBot="1" x14ac:dyDescent="0.25">
      <c r="A59" s="150"/>
      <c r="B59" s="49"/>
      <c r="C59" s="225" t="s">
        <v>312</v>
      </c>
      <c r="D59" s="43" t="s">
        <v>98</v>
      </c>
      <c r="E59" s="31"/>
      <c r="F59" s="31" t="s">
        <v>98</v>
      </c>
      <c r="G59" s="71">
        <v>1</v>
      </c>
      <c r="H59" s="92">
        <v>1</v>
      </c>
      <c r="I59" s="71">
        <v>1</v>
      </c>
      <c r="J59" s="92">
        <v>1</v>
      </c>
      <c r="K59" s="114">
        <v>1</v>
      </c>
    </row>
    <row r="60" spans="1:11" x14ac:dyDescent="0.2">
      <c r="A60" s="48" t="s">
        <v>319</v>
      </c>
      <c r="B60" s="48" t="s">
        <v>318</v>
      </c>
      <c r="C60" s="3" t="s">
        <v>290</v>
      </c>
      <c r="D60" s="42" t="s">
        <v>98</v>
      </c>
      <c r="E60" s="17"/>
      <c r="F60" s="17" t="s">
        <v>98</v>
      </c>
      <c r="G60" s="73">
        <v>52</v>
      </c>
      <c r="H60" s="93">
        <v>52</v>
      </c>
      <c r="I60" s="73">
        <v>52</v>
      </c>
      <c r="J60" s="93">
        <v>52</v>
      </c>
      <c r="K60" s="115">
        <v>52</v>
      </c>
    </row>
    <row r="61" spans="1:11" x14ac:dyDescent="0.2">
      <c r="A61" s="48"/>
      <c r="B61" s="48"/>
      <c r="C61" s="3" t="s">
        <v>292</v>
      </c>
      <c r="D61" s="39" t="s">
        <v>98</v>
      </c>
      <c r="E61" s="17"/>
      <c r="F61" s="17" t="s">
        <v>98</v>
      </c>
      <c r="G61" s="73">
        <v>40</v>
      </c>
      <c r="H61" s="93">
        <v>52</v>
      </c>
      <c r="I61" s="73">
        <v>52</v>
      </c>
      <c r="J61" s="93">
        <v>52</v>
      </c>
      <c r="K61" s="115">
        <v>52</v>
      </c>
    </row>
    <row r="62" spans="1:11" x14ac:dyDescent="0.2">
      <c r="A62" s="48"/>
      <c r="B62" s="48"/>
      <c r="C62" s="3" t="s">
        <v>291</v>
      </c>
      <c r="D62" s="39" t="s">
        <v>98</v>
      </c>
      <c r="E62" s="17"/>
      <c r="F62" s="17" t="s">
        <v>98</v>
      </c>
      <c r="G62" s="73">
        <v>52</v>
      </c>
      <c r="H62" s="93">
        <v>52</v>
      </c>
      <c r="I62" s="73">
        <v>52</v>
      </c>
      <c r="J62" s="93">
        <v>52</v>
      </c>
      <c r="K62" s="115">
        <v>52</v>
      </c>
    </row>
    <row r="63" spans="1:11" x14ac:dyDescent="0.2">
      <c r="A63" s="48"/>
      <c r="B63" s="48"/>
      <c r="C63" s="3" t="s">
        <v>293</v>
      </c>
      <c r="D63" s="39" t="s">
        <v>98</v>
      </c>
      <c r="E63" s="17"/>
      <c r="F63" s="17" t="s">
        <v>98</v>
      </c>
      <c r="G63" s="73">
        <v>40</v>
      </c>
      <c r="H63" s="93">
        <v>52</v>
      </c>
      <c r="I63" s="73">
        <v>52</v>
      </c>
      <c r="J63" s="93">
        <v>52</v>
      </c>
      <c r="K63" s="115">
        <v>52</v>
      </c>
    </row>
    <row r="64" spans="1:11" x14ac:dyDescent="0.2">
      <c r="A64" s="48"/>
      <c r="B64" s="48"/>
      <c r="C64" s="3" t="s">
        <v>305</v>
      </c>
      <c r="D64" s="39" t="s">
        <v>98</v>
      </c>
      <c r="E64" s="17"/>
      <c r="F64" s="17" t="s">
        <v>98</v>
      </c>
      <c r="G64" s="73">
        <v>3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48"/>
      <c r="C65" s="3" t="s">
        <v>306</v>
      </c>
      <c r="D65" s="39" t="s">
        <v>98</v>
      </c>
      <c r="E65" s="17"/>
      <c r="F65" s="17" t="s">
        <v>98</v>
      </c>
      <c r="G65" s="73">
        <v>4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48"/>
      <c r="C66" s="3" t="s">
        <v>307</v>
      </c>
      <c r="D66" s="39" t="s">
        <v>98</v>
      </c>
      <c r="E66" s="17"/>
      <c r="F66" s="17" t="s">
        <v>98</v>
      </c>
      <c r="G66" s="73">
        <v>4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48"/>
      <c r="B67" s="48"/>
      <c r="C67" s="3" t="s">
        <v>308</v>
      </c>
      <c r="D67" s="39" t="s">
        <v>98</v>
      </c>
      <c r="E67" s="17"/>
      <c r="F67" s="17" t="s">
        <v>98</v>
      </c>
      <c r="G67" s="73">
        <v>2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48"/>
      <c r="B68" s="48"/>
      <c r="C68" s="3" t="s">
        <v>309</v>
      </c>
      <c r="D68" s="39" t="s">
        <v>98</v>
      </c>
      <c r="E68" s="17"/>
      <c r="F68" s="17" t="s">
        <v>98</v>
      </c>
      <c r="G68" s="73">
        <v>2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48"/>
      <c r="B69" s="48"/>
      <c r="C69" s="3" t="s">
        <v>310</v>
      </c>
      <c r="D69" s="39" t="s">
        <v>98</v>
      </c>
      <c r="E69" s="17"/>
      <c r="F69" s="17" t="s">
        <v>98</v>
      </c>
      <c r="G69" s="73">
        <v>2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48"/>
      <c r="B70" s="48"/>
      <c r="C70" s="11" t="s">
        <v>311</v>
      </c>
      <c r="D70" s="39" t="s">
        <v>98</v>
      </c>
      <c r="E70" s="17"/>
      <c r="F70" s="17" t="s">
        <v>98</v>
      </c>
      <c r="G70" s="145">
        <v>2</v>
      </c>
      <c r="H70" s="146">
        <v>0</v>
      </c>
      <c r="I70" s="145">
        <v>0</v>
      </c>
      <c r="J70" s="146">
        <v>0</v>
      </c>
      <c r="K70" s="147">
        <v>0</v>
      </c>
    </row>
    <row r="71" spans="1:11" x14ac:dyDescent="0.2">
      <c r="A71" s="48"/>
      <c r="B71" s="48"/>
      <c r="C71" s="11" t="s">
        <v>289</v>
      </c>
      <c r="D71" s="39" t="s">
        <v>98</v>
      </c>
      <c r="E71" s="17"/>
      <c r="F71" s="17" t="s">
        <v>98</v>
      </c>
      <c r="G71" s="145">
        <v>40</v>
      </c>
      <c r="H71" s="146">
        <v>52</v>
      </c>
      <c r="I71" s="145">
        <v>52</v>
      </c>
      <c r="J71" s="146">
        <v>26</v>
      </c>
      <c r="K71" s="147">
        <v>26</v>
      </c>
    </row>
    <row r="72" spans="1:11" ht="13.5" thickBot="1" x14ac:dyDescent="0.25">
      <c r="A72" s="48"/>
      <c r="B72" s="51"/>
      <c r="C72" s="30" t="s">
        <v>312</v>
      </c>
      <c r="D72" s="41" t="s">
        <v>98</v>
      </c>
      <c r="E72" s="31"/>
      <c r="F72" s="31" t="s">
        <v>98</v>
      </c>
      <c r="G72" s="71">
        <v>40</v>
      </c>
      <c r="H72" s="92">
        <v>52</v>
      </c>
      <c r="I72" s="71">
        <v>52</v>
      </c>
      <c r="J72" s="92">
        <v>26</v>
      </c>
      <c r="K72" s="114">
        <v>26</v>
      </c>
    </row>
    <row r="73" spans="1:11" x14ac:dyDescent="0.2">
      <c r="A73" s="165" t="s">
        <v>321</v>
      </c>
      <c r="B73" s="48" t="s">
        <v>318</v>
      </c>
      <c r="C73" s="3" t="s">
        <v>290</v>
      </c>
      <c r="D73" s="40" t="s">
        <v>110</v>
      </c>
      <c r="E73" s="17"/>
      <c r="F73" s="17" t="s">
        <v>29</v>
      </c>
      <c r="G73" s="75">
        <f>G60*G47*G3</f>
        <v>92352</v>
      </c>
      <c r="H73" s="95">
        <f>H60*H47*H3</f>
        <v>93737.279999999999</v>
      </c>
      <c r="I73" s="75">
        <f>I60*I47*I3</f>
        <v>95143.339199999988</v>
      </c>
      <c r="J73" s="95">
        <f>J60*J47*J3</f>
        <v>96570.489287999982</v>
      </c>
      <c r="K73" s="117">
        <f>K60*K47*K3</f>
        <v>98019.046627319971</v>
      </c>
    </row>
    <row r="74" spans="1:11" x14ac:dyDescent="0.2">
      <c r="A74" s="48"/>
      <c r="B74" s="48"/>
      <c r="C74" s="3" t="s">
        <v>292</v>
      </c>
      <c r="D74" s="39" t="s">
        <v>49</v>
      </c>
      <c r="E74" s="17"/>
      <c r="F74" s="17" t="s">
        <v>29</v>
      </c>
      <c r="G74" s="75">
        <f>G61*G48*G13</f>
        <v>440000</v>
      </c>
      <c r="H74" s="95">
        <f>H61*H48*H13</f>
        <v>580579.99999999988</v>
      </c>
      <c r="I74" s="75">
        <f>I61*I48*I13</f>
        <v>589288.69999999984</v>
      </c>
      <c r="J74" s="95">
        <f>J61*J48*J13</f>
        <v>598128.03049999976</v>
      </c>
      <c r="K74" s="117">
        <f>K61*K48*K13</f>
        <v>607099.95095749968</v>
      </c>
    </row>
    <row r="75" spans="1:11" x14ac:dyDescent="0.2">
      <c r="A75" s="48"/>
      <c r="B75" s="48"/>
      <c r="C75" s="3" t="s">
        <v>291</v>
      </c>
      <c r="D75" s="39" t="s">
        <v>110</v>
      </c>
      <c r="E75" s="17"/>
      <c r="F75" s="17" t="s">
        <v>29</v>
      </c>
      <c r="G75" s="75">
        <f>G62*G49*G4</f>
        <v>184704</v>
      </c>
      <c r="H75" s="95">
        <f>H62*H49*H4</f>
        <v>93737.279999999999</v>
      </c>
      <c r="I75" s="75">
        <f>I62*I49*I4</f>
        <v>95143.339199999988</v>
      </c>
      <c r="J75" s="95">
        <f>J62*J49*J4</f>
        <v>96570.489287999982</v>
      </c>
      <c r="K75" s="117">
        <f>K62*K49*K4</f>
        <v>98019.046627319971</v>
      </c>
    </row>
    <row r="76" spans="1:11" x14ac:dyDescent="0.2">
      <c r="A76" s="48"/>
      <c r="B76" s="48"/>
      <c r="C76" s="3" t="s">
        <v>293</v>
      </c>
      <c r="D76" s="39" t="s">
        <v>49</v>
      </c>
      <c r="E76" s="17"/>
      <c r="F76" s="17" t="s">
        <v>29</v>
      </c>
      <c r="G76" s="75">
        <f>G63*G50*G14</f>
        <v>720000</v>
      </c>
      <c r="H76" s="95">
        <f>H63*H50*H14</f>
        <v>475020</v>
      </c>
      <c r="I76" s="75">
        <f>I63*I50*I14</f>
        <v>482145.3</v>
      </c>
      <c r="J76" s="95">
        <f>J63*J50*J14</f>
        <v>489377.47949999996</v>
      </c>
      <c r="K76" s="117">
        <f>K63*K50*K14</f>
        <v>496718.14169249986</v>
      </c>
    </row>
    <row r="77" spans="1:11" x14ac:dyDescent="0.2">
      <c r="A77" s="48"/>
      <c r="B77" s="48"/>
      <c r="C77" s="3" t="s">
        <v>305</v>
      </c>
      <c r="D77" s="39" t="s">
        <v>49</v>
      </c>
      <c r="E77" s="17"/>
      <c r="F77" s="17" t="s">
        <v>29</v>
      </c>
      <c r="G77" s="75">
        <f>G64*G51*G12</f>
        <v>21600</v>
      </c>
      <c r="H77" s="95">
        <f>H64*H51*H12</f>
        <v>0</v>
      </c>
      <c r="I77" s="75">
        <f>I64*I51*I12</f>
        <v>0</v>
      </c>
      <c r="J77" s="95">
        <f>J64*J51*J12</f>
        <v>0</v>
      </c>
      <c r="K77" s="117">
        <f>K64*K51*K12</f>
        <v>0</v>
      </c>
    </row>
    <row r="78" spans="1:11" x14ac:dyDescent="0.2">
      <c r="A78" s="48"/>
      <c r="B78" s="48"/>
      <c r="C78" s="3" t="s">
        <v>306</v>
      </c>
      <c r="D78" s="39" t="s">
        <v>110</v>
      </c>
      <c r="E78" s="17"/>
      <c r="F78" s="17" t="s">
        <v>29</v>
      </c>
      <c r="G78" s="75">
        <f>G65*G52*G5</f>
        <v>8880</v>
      </c>
      <c r="H78" s="95">
        <f>H65*H52*H5</f>
        <v>0</v>
      </c>
      <c r="I78" s="75">
        <f>I65*I52*I5</f>
        <v>0</v>
      </c>
      <c r="J78" s="95">
        <f>J65*J52*J5</f>
        <v>0</v>
      </c>
      <c r="K78" s="117">
        <f>K65*K52*K5</f>
        <v>0</v>
      </c>
    </row>
    <row r="79" spans="1:11" x14ac:dyDescent="0.2">
      <c r="A79" s="48"/>
      <c r="B79" s="48"/>
      <c r="C79" s="3" t="s">
        <v>307</v>
      </c>
      <c r="D79" s="39" t="s">
        <v>49</v>
      </c>
      <c r="E79" s="17"/>
      <c r="F79" s="17" t="s">
        <v>29</v>
      </c>
      <c r="G79" s="75">
        <f>G68*G55*G12</f>
        <v>14400</v>
      </c>
      <c r="H79" s="95">
        <f>H68*H55*H12</f>
        <v>0</v>
      </c>
      <c r="I79" s="75">
        <f>I68*I55*I12</f>
        <v>0</v>
      </c>
      <c r="J79" s="95">
        <f>J68*J55*J12</f>
        <v>0</v>
      </c>
      <c r="K79" s="117">
        <f>K68*K55*K12</f>
        <v>0</v>
      </c>
    </row>
    <row r="80" spans="1:11" x14ac:dyDescent="0.2">
      <c r="A80" s="48"/>
      <c r="B80" s="48"/>
      <c r="C80" s="3" t="s">
        <v>308</v>
      </c>
      <c r="D80" s="39" t="s">
        <v>110</v>
      </c>
      <c r="E80" s="17"/>
      <c r="F80" s="17" t="s">
        <v>29</v>
      </c>
      <c r="G80" s="75">
        <f>G69*G56*G5</f>
        <v>3552</v>
      </c>
      <c r="H80" s="95">
        <f>H69*H56*H5</f>
        <v>0</v>
      </c>
      <c r="I80" s="75">
        <f>I69*I56*I5</f>
        <v>0</v>
      </c>
      <c r="J80" s="95">
        <f>J69*J56*J5</f>
        <v>0</v>
      </c>
      <c r="K80" s="117">
        <f>K69*K56*K5</f>
        <v>0</v>
      </c>
    </row>
    <row r="81" spans="1:11" x14ac:dyDescent="0.2">
      <c r="A81" s="48"/>
      <c r="B81" s="48"/>
      <c r="C81" s="3" t="s">
        <v>309</v>
      </c>
      <c r="D81" s="39" t="s">
        <v>49</v>
      </c>
      <c r="E81" s="17"/>
      <c r="F81" s="17" t="s">
        <v>29</v>
      </c>
      <c r="G81" s="75">
        <f>G68*G55*G12</f>
        <v>14400</v>
      </c>
      <c r="H81" s="95">
        <f>H68*H55*H12</f>
        <v>0</v>
      </c>
      <c r="I81" s="75">
        <f>I68*I55*I12</f>
        <v>0</v>
      </c>
      <c r="J81" s="95">
        <f>J68*J55*J12</f>
        <v>0</v>
      </c>
      <c r="K81" s="117">
        <f>K68*K55*K12</f>
        <v>0</v>
      </c>
    </row>
    <row r="82" spans="1:11" x14ac:dyDescent="0.2">
      <c r="A82" s="48"/>
      <c r="B82" s="48"/>
      <c r="C82" s="3" t="s">
        <v>310</v>
      </c>
      <c r="D82" s="39" t="s">
        <v>49</v>
      </c>
      <c r="E82" s="17"/>
      <c r="F82" s="17" t="s">
        <v>29</v>
      </c>
      <c r="G82" s="75">
        <f>G70*G57*G12</f>
        <v>10800</v>
      </c>
      <c r="H82" s="95">
        <f>H70*H57*H12</f>
        <v>0</v>
      </c>
      <c r="I82" s="75">
        <f>I70*I57*I12</f>
        <v>0</v>
      </c>
      <c r="J82" s="95">
        <f>J70*J57*J12</f>
        <v>0</v>
      </c>
      <c r="K82" s="117">
        <f>K70*K57*K12</f>
        <v>0</v>
      </c>
    </row>
    <row r="83" spans="1:11" x14ac:dyDescent="0.2">
      <c r="A83" s="48"/>
      <c r="B83" s="48"/>
      <c r="C83" s="3" t="s">
        <v>311</v>
      </c>
      <c r="D83" s="39" t="s">
        <v>49</v>
      </c>
      <c r="E83" s="17"/>
      <c r="F83" s="17" t="s">
        <v>29</v>
      </c>
      <c r="G83" s="75">
        <f>G70*G57*G12</f>
        <v>10800</v>
      </c>
      <c r="H83" s="95">
        <f>H70*H57*H12</f>
        <v>0</v>
      </c>
      <c r="I83" s="75">
        <f>I70*I57*I12</f>
        <v>0</v>
      </c>
      <c r="J83" s="95">
        <f>J70*J57*J12</f>
        <v>0</v>
      </c>
      <c r="K83" s="117">
        <f>K70*K57*K12</f>
        <v>0</v>
      </c>
    </row>
    <row r="84" spans="1:11" x14ac:dyDescent="0.2">
      <c r="A84" s="48"/>
      <c r="B84" s="48"/>
      <c r="C84" s="3" t="s">
        <v>289</v>
      </c>
      <c r="D84" s="39" t="s">
        <v>110</v>
      </c>
      <c r="E84" s="17"/>
      <c r="F84" s="17" t="s">
        <v>29</v>
      </c>
      <c r="G84" s="75">
        <f>G71*G58*G5</f>
        <v>71040</v>
      </c>
      <c r="H84" s="95">
        <f>H71*H58*H5</f>
        <v>93737.279999999999</v>
      </c>
      <c r="I84" s="75">
        <f>I71*I58*I5</f>
        <v>95143.339199999988</v>
      </c>
      <c r="J84" s="95">
        <f>J71*J58*J5</f>
        <v>48285.244643999991</v>
      </c>
      <c r="K84" s="117">
        <f>K71*K58*K5</f>
        <v>49009.523313659985</v>
      </c>
    </row>
    <row r="85" spans="1:11" x14ac:dyDescent="0.2">
      <c r="A85" s="48"/>
      <c r="B85" s="48"/>
      <c r="C85" s="3" t="s">
        <v>312</v>
      </c>
      <c r="D85" s="39" t="s">
        <v>49</v>
      </c>
      <c r="E85" s="17"/>
      <c r="F85" s="17" t="s">
        <v>29</v>
      </c>
      <c r="G85" s="75">
        <f>G72*G59*G8</f>
        <v>75600</v>
      </c>
      <c r="H85" s="95">
        <f>H72*H59*H12</f>
        <v>380015.99999999994</v>
      </c>
      <c r="I85" s="75">
        <f>I72*I59*I12</f>
        <v>385716.23999999987</v>
      </c>
      <c r="J85" s="95">
        <f>J72*J59*J12</f>
        <v>195750.99179999993</v>
      </c>
      <c r="K85" s="117">
        <f>K72*K59*K12</f>
        <v>198687.25667699991</v>
      </c>
    </row>
    <row r="86" spans="1:11" x14ac:dyDescent="0.2">
      <c r="A86" s="48"/>
      <c r="B86" s="168"/>
      <c r="C86" s="3" t="s">
        <v>288</v>
      </c>
      <c r="D86" s="39" t="s">
        <v>98</v>
      </c>
      <c r="E86" s="17"/>
      <c r="F86" s="17" t="s">
        <v>98</v>
      </c>
      <c r="G86" s="75">
        <f>SUM(G73:G74)</f>
        <v>532352</v>
      </c>
      <c r="H86" s="95">
        <f t="shared" ref="H86:K86" si="18">SUM(H73:H74)</f>
        <v>674317.27999999991</v>
      </c>
      <c r="I86" s="75">
        <f t="shared" si="18"/>
        <v>684432.03919999977</v>
      </c>
      <c r="J86" s="95">
        <f t="shared" si="18"/>
        <v>694698.5197879998</v>
      </c>
      <c r="K86" s="117">
        <f t="shared" si="18"/>
        <v>705118.99758481968</v>
      </c>
    </row>
    <row r="87" spans="1:11" x14ac:dyDescent="0.2">
      <c r="A87" s="48"/>
      <c r="B87" s="168"/>
      <c r="C87" s="3" t="s">
        <v>287</v>
      </c>
      <c r="D87" s="39" t="s">
        <v>98</v>
      </c>
      <c r="E87" s="17"/>
      <c r="F87" s="17" t="s">
        <v>98</v>
      </c>
      <c r="G87" s="75">
        <f>SUM(G75:G76)</f>
        <v>904704</v>
      </c>
      <c r="H87" s="95">
        <f t="shared" ref="H87:K87" si="19">SUM(H75:H76)</f>
        <v>568757.28</v>
      </c>
      <c r="I87" s="75">
        <f t="shared" si="19"/>
        <v>577288.63919999998</v>
      </c>
      <c r="J87" s="95">
        <f t="shared" si="19"/>
        <v>585947.96878799994</v>
      </c>
      <c r="K87" s="117">
        <f t="shared" si="19"/>
        <v>594737.18831981986</v>
      </c>
    </row>
    <row r="88" spans="1:11" x14ac:dyDescent="0.2">
      <c r="A88" s="48"/>
      <c r="B88" s="168"/>
      <c r="C88" s="3" t="s">
        <v>286</v>
      </c>
      <c r="D88" s="39" t="s">
        <v>98</v>
      </c>
      <c r="E88" s="17"/>
      <c r="F88" s="17" t="s">
        <v>98</v>
      </c>
      <c r="G88" s="75">
        <f>SUM(G77)</f>
        <v>21600</v>
      </c>
      <c r="H88" s="95">
        <f t="shared" ref="H88:K88" si="20">SUM(H77)</f>
        <v>0</v>
      </c>
      <c r="I88" s="75">
        <f t="shared" si="20"/>
        <v>0</v>
      </c>
      <c r="J88" s="95">
        <f t="shared" si="20"/>
        <v>0</v>
      </c>
      <c r="K88" s="117">
        <f t="shared" si="20"/>
        <v>0</v>
      </c>
    </row>
    <row r="89" spans="1:11" x14ac:dyDescent="0.2">
      <c r="A89" s="48"/>
      <c r="B89" s="168"/>
      <c r="C89" s="3" t="s">
        <v>285</v>
      </c>
      <c r="D89" s="39" t="s">
        <v>98</v>
      </c>
      <c r="E89" s="17"/>
      <c r="F89" s="17" t="s">
        <v>98</v>
      </c>
      <c r="G89" s="75">
        <f>SUM(G78:G79)</f>
        <v>23280</v>
      </c>
      <c r="H89" s="95">
        <f t="shared" ref="H89:K89" si="21">SUM(H78:H79)</f>
        <v>0</v>
      </c>
      <c r="I89" s="75">
        <f t="shared" si="21"/>
        <v>0</v>
      </c>
      <c r="J89" s="95">
        <f t="shared" si="21"/>
        <v>0</v>
      </c>
      <c r="K89" s="117">
        <f t="shared" si="21"/>
        <v>0</v>
      </c>
    </row>
    <row r="90" spans="1:11" x14ac:dyDescent="0.2">
      <c r="A90" s="48"/>
      <c r="B90" s="168"/>
      <c r="C90" s="3" t="s">
        <v>283</v>
      </c>
      <c r="D90" s="39" t="s">
        <v>98</v>
      </c>
      <c r="E90" s="17"/>
      <c r="F90" s="17" t="s">
        <v>98</v>
      </c>
      <c r="G90" s="75">
        <f>SUM(G80:G81)</f>
        <v>17952</v>
      </c>
      <c r="H90" s="95">
        <f t="shared" ref="H90:K90" si="22">SUM(H80:H81)</f>
        <v>0</v>
      </c>
      <c r="I90" s="75">
        <f t="shared" si="22"/>
        <v>0</v>
      </c>
      <c r="J90" s="95">
        <f t="shared" si="22"/>
        <v>0</v>
      </c>
      <c r="K90" s="117">
        <f t="shared" si="22"/>
        <v>0</v>
      </c>
    </row>
    <row r="91" spans="1:11" x14ac:dyDescent="0.2">
      <c r="A91" s="48"/>
      <c r="B91" s="168"/>
      <c r="C91" s="11" t="s">
        <v>282</v>
      </c>
      <c r="D91" s="44" t="s">
        <v>98</v>
      </c>
      <c r="E91" s="18"/>
      <c r="F91" s="18" t="s">
        <v>98</v>
      </c>
      <c r="G91" s="76">
        <f>SUM(G82)</f>
        <v>10800</v>
      </c>
      <c r="H91" s="96">
        <f t="shared" ref="H91:K91" si="23">SUM(H82)</f>
        <v>0</v>
      </c>
      <c r="I91" s="76">
        <f t="shared" si="23"/>
        <v>0</v>
      </c>
      <c r="J91" s="96">
        <f t="shared" si="23"/>
        <v>0</v>
      </c>
      <c r="K91" s="175">
        <f t="shared" si="23"/>
        <v>0</v>
      </c>
    </row>
    <row r="92" spans="1:11" x14ac:dyDescent="0.2">
      <c r="A92" s="48"/>
      <c r="B92" s="168"/>
      <c r="C92" s="11" t="s">
        <v>281</v>
      </c>
      <c r="D92" s="44" t="s">
        <v>98</v>
      </c>
      <c r="E92" s="18"/>
      <c r="F92" s="18" t="s">
        <v>98</v>
      </c>
      <c r="G92" s="76">
        <f>G83</f>
        <v>10800</v>
      </c>
      <c r="H92" s="96">
        <f t="shared" ref="H92:K92" si="24">H83</f>
        <v>0</v>
      </c>
      <c r="I92" s="76">
        <f t="shared" si="24"/>
        <v>0</v>
      </c>
      <c r="J92" s="96">
        <f t="shared" si="24"/>
        <v>0</v>
      </c>
      <c r="K92" s="175">
        <f t="shared" si="24"/>
        <v>0</v>
      </c>
    </row>
    <row r="93" spans="1:11" x14ac:dyDescent="0.2">
      <c r="A93" s="48"/>
      <c r="B93" s="168"/>
      <c r="C93" s="11" t="s">
        <v>284</v>
      </c>
      <c r="D93" s="44" t="s">
        <v>98</v>
      </c>
      <c r="E93" s="18"/>
      <c r="F93" s="18" t="s">
        <v>98</v>
      </c>
      <c r="G93" s="76">
        <f>SUM(G84:G85)</f>
        <v>146640</v>
      </c>
      <c r="H93" s="96">
        <f t="shared" ref="H93:K93" si="25">SUM(H84:H85)</f>
        <v>473753.27999999991</v>
      </c>
      <c r="I93" s="76">
        <f t="shared" si="25"/>
        <v>480859.57919999986</v>
      </c>
      <c r="J93" s="96">
        <f t="shared" si="25"/>
        <v>244036.23644399992</v>
      </c>
      <c r="K93" s="175">
        <f t="shared" si="25"/>
        <v>247696.77999065991</v>
      </c>
    </row>
    <row r="94" spans="1:11" s="50" customFormat="1" ht="13.5" thickBot="1" x14ac:dyDescent="0.25">
      <c r="A94" s="150"/>
      <c r="B94" s="49"/>
      <c r="C94" s="52" t="s">
        <v>48</v>
      </c>
      <c r="D94" s="53" t="s">
        <v>98</v>
      </c>
      <c r="E94" s="54"/>
      <c r="F94" s="54" t="s">
        <v>98</v>
      </c>
      <c r="G94" s="55">
        <f>SUM(G86:G93)</f>
        <v>1668128</v>
      </c>
      <c r="H94" s="55">
        <f>SUM(H86:H93)</f>
        <v>1716827.8399999999</v>
      </c>
      <c r="I94" s="55">
        <f>SUM(I86:I93)</f>
        <v>1742580.2575999994</v>
      </c>
      <c r="J94" s="55">
        <f>SUM(J86:J93)</f>
        <v>1524682.7250199995</v>
      </c>
      <c r="K94" s="56">
        <f>SUM(K86:K93)</f>
        <v>1547552.9658952993</v>
      </c>
    </row>
    <row r="95" spans="1:11" x14ac:dyDescent="0.2">
      <c r="B95" s="169" t="s">
        <v>322</v>
      </c>
      <c r="C95" s="21" t="s">
        <v>42</v>
      </c>
      <c r="D95" s="38" t="s">
        <v>304</v>
      </c>
      <c r="E95" s="22"/>
      <c r="F95" s="22" t="s">
        <v>29</v>
      </c>
      <c r="G95" s="77">
        <v>0</v>
      </c>
      <c r="H95" s="97">
        <v>0</v>
      </c>
      <c r="I95" s="77">
        <v>0</v>
      </c>
      <c r="J95" s="97">
        <v>0</v>
      </c>
      <c r="K95" s="124">
        <v>0</v>
      </c>
    </row>
    <row r="96" spans="1:11" x14ac:dyDescent="0.2">
      <c r="B96" s="48"/>
      <c r="C96" s="3" t="s">
        <v>44</v>
      </c>
      <c r="D96" s="39" t="s">
        <v>303</v>
      </c>
      <c r="E96" s="17"/>
      <c r="F96" s="17" t="s">
        <v>29</v>
      </c>
      <c r="G96" s="78">
        <f>(G41*(G17+G18))+(G42*G16)+(G43*(G17+G18))+(G44*G16)+(G45*G17)+(G46*G16)</f>
        <v>82120</v>
      </c>
      <c r="H96" s="98">
        <f>(H41*(H17+H18))+(H42*H16)+(H43*(H17+H18))+(H44*H16)+(H45*H17)+(H46*H16)</f>
        <v>37215.989999999991</v>
      </c>
      <c r="I96" s="78">
        <f>(I41*(I17+I18))+(I42*I16)+(I43*(I17+I18))+(I44*I16)+(I45*I17)+(I46*I16)</f>
        <v>37774.229849999989</v>
      </c>
      <c r="J96" s="98">
        <f>(J41*(J17+J18))+(J42*J16)+(J43*(J17+J18))+(J44*J16)+(J45*J17)+(J46*J16)</f>
        <v>38340.843297749991</v>
      </c>
      <c r="K96" s="118">
        <f>(K41*(K17+K18))+(K42*K16)+(K43*(K17+K18))+(K44*K16)+(K45*K17)+(K46*K16)</f>
        <v>38915.955947216236</v>
      </c>
    </row>
    <row r="97" spans="2:17" x14ac:dyDescent="0.2">
      <c r="B97" s="48"/>
      <c r="C97" s="14" t="s">
        <v>45</v>
      </c>
      <c r="D97" s="149" t="s">
        <v>304</v>
      </c>
      <c r="E97" s="25"/>
      <c r="F97" s="25" t="s">
        <v>29</v>
      </c>
      <c r="G97" s="78">
        <v>0</v>
      </c>
      <c r="H97" s="98">
        <v>0</v>
      </c>
      <c r="I97" s="78">
        <v>0</v>
      </c>
      <c r="J97" s="98">
        <v>0</v>
      </c>
      <c r="K97" s="118">
        <v>0</v>
      </c>
    </row>
    <row r="98" spans="2:17" x14ac:dyDescent="0.2">
      <c r="B98" s="48"/>
      <c r="C98" s="14" t="s">
        <v>46</v>
      </c>
      <c r="D98" s="149" t="s">
        <v>304</v>
      </c>
      <c r="E98" s="25"/>
      <c r="F98" s="25" t="s">
        <v>29</v>
      </c>
      <c r="G98" s="78">
        <v>0</v>
      </c>
      <c r="H98" s="98">
        <v>0</v>
      </c>
      <c r="I98" s="78">
        <v>0</v>
      </c>
      <c r="J98" s="98">
        <v>0</v>
      </c>
      <c r="K98" s="118">
        <v>0</v>
      </c>
    </row>
    <row r="99" spans="2:17" x14ac:dyDescent="0.2">
      <c r="B99" s="48"/>
      <c r="C99" s="151" t="s">
        <v>47</v>
      </c>
      <c r="D99" s="148" t="s">
        <v>304</v>
      </c>
      <c r="E99" s="152"/>
      <c r="F99" s="25" t="s">
        <v>29</v>
      </c>
      <c r="G99" s="79">
        <v>0</v>
      </c>
      <c r="H99" s="100">
        <v>0</v>
      </c>
      <c r="I99" s="79">
        <v>0</v>
      </c>
      <c r="J99" s="100">
        <v>0</v>
      </c>
      <c r="K99" s="119">
        <v>0</v>
      </c>
    </row>
    <row r="100" spans="2:17" s="50" customFormat="1" ht="13.5" thickBot="1" x14ac:dyDescent="0.25">
      <c r="B100" s="51"/>
      <c r="C100" s="52" t="s">
        <v>48</v>
      </c>
      <c r="D100" s="57" t="s">
        <v>98</v>
      </c>
      <c r="E100" s="54"/>
      <c r="F100" s="54" t="s">
        <v>98</v>
      </c>
      <c r="G100" s="61">
        <f>SUM(G95:G99)</f>
        <v>82120</v>
      </c>
      <c r="H100" s="61">
        <f>SUM(H95:H99)</f>
        <v>37215.989999999991</v>
      </c>
      <c r="I100" s="61">
        <f>SUM(I95:I99)</f>
        <v>37774.229849999989</v>
      </c>
      <c r="J100" s="61">
        <f>SUM(J95:J99)</f>
        <v>38340.843297749991</v>
      </c>
      <c r="K100" s="62">
        <f>SUM(K95:K99)</f>
        <v>38915.955947216236</v>
      </c>
    </row>
    <row r="101" spans="2:17" x14ac:dyDescent="0.2">
      <c r="B101" s="169" t="s">
        <v>323</v>
      </c>
      <c r="C101" s="35" t="s">
        <v>50</v>
      </c>
      <c r="D101" s="42" t="s">
        <v>96</v>
      </c>
      <c r="E101" s="22"/>
      <c r="F101" s="22" t="s">
        <v>29</v>
      </c>
      <c r="G101" s="80">
        <v>0</v>
      </c>
      <c r="H101" s="99">
        <v>0</v>
      </c>
      <c r="I101" s="80">
        <v>0</v>
      </c>
      <c r="J101" s="99">
        <v>0</v>
      </c>
      <c r="K101" s="125">
        <v>0</v>
      </c>
    </row>
    <row r="102" spans="2:17" x14ac:dyDescent="0.2">
      <c r="B102" s="48"/>
      <c r="C102" s="14" t="s">
        <v>76</v>
      </c>
      <c r="D102" s="39" t="s">
        <v>96</v>
      </c>
      <c r="E102" s="17"/>
      <c r="F102" s="17" t="s">
        <v>29</v>
      </c>
      <c r="G102" s="78">
        <v>0</v>
      </c>
      <c r="H102" s="98">
        <v>0</v>
      </c>
      <c r="I102" s="78">
        <v>0</v>
      </c>
      <c r="J102" s="98">
        <v>0</v>
      </c>
      <c r="K102" s="118">
        <v>0</v>
      </c>
    </row>
    <row r="103" spans="2:17" x14ac:dyDescent="0.2">
      <c r="B103" s="48"/>
      <c r="C103" s="14" t="s">
        <v>51</v>
      </c>
      <c r="D103" s="39" t="s">
        <v>96</v>
      </c>
      <c r="E103" s="17"/>
      <c r="F103" s="17" t="s">
        <v>29</v>
      </c>
      <c r="G103" s="78">
        <v>0</v>
      </c>
      <c r="H103" s="98">
        <v>0</v>
      </c>
      <c r="I103" s="78">
        <v>0</v>
      </c>
      <c r="J103" s="98">
        <v>0</v>
      </c>
      <c r="K103" s="118">
        <v>0</v>
      </c>
    </row>
    <row r="104" spans="2:17" x14ac:dyDescent="0.2">
      <c r="B104" s="48"/>
      <c r="C104" s="14" t="s">
        <v>52</v>
      </c>
      <c r="D104" s="39" t="s">
        <v>96</v>
      </c>
      <c r="E104" s="17"/>
      <c r="F104" s="17" t="s">
        <v>29</v>
      </c>
      <c r="G104" s="78">
        <v>0</v>
      </c>
      <c r="H104" s="98">
        <v>0</v>
      </c>
      <c r="I104" s="78">
        <v>0</v>
      </c>
      <c r="J104" s="98">
        <v>0</v>
      </c>
      <c r="K104" s="118">
        <v>0</v>
      </c>
    </row>
    <row r="105" spans="2:17" s="50" customFormat="1" ht="13.5" thickBot="1" x14ac:dyDescent="0.25">
      <c r="B105" s="51"/>
      <c r="C105" s="52" t="s">
        <v>48</v>
      </c>
      <c r="D105" s="53" t="s">
        <v>98</v>
      </c>
      <c r="E105" s="54"/>
      <c r="F105" s="54" t="s">
        <v>98</v>
      </c>
      <c r="G105" s="61">
        <f>SUM(G101:G104)</f>
        <v>0</v>
      </c>
      <c r="H105" s="61">
        <f>SUM(H101:H104)</f>
        <v>0</v>
      </c>
      <c r="I105" s="61">
        <f>SUM(I101:I104)</f>
        <v>0</v>
      </c>
      <c r="J105" s="61">
        <f>SUM(J101:J104)</f>
        <v>0</v>
      </c>
      <c r="K105" s="62">
        <f>SUM(K101:K104)</f>
        <v>0</v>
      </c>
    </row>
    <row r="107" spans="2:17" ht="13.5" thickBot="1" x14ac:dyDescent="0.25"/>
    <row r="108" spans="2:17" s="50" customFormat="1" x14ac:dyDescent="0.2">
      <c r="C108" s="126" t="s">
        <v>120</v>
      </c>
      <c r="D108" s="127"/>
      <c r="E108" s="128"/>
      <c r="F108" s="129"/>
      <c r="G108" s="134">
        <f>SUM(G94+G100+G105)</f>
        <v>1750248</v>
      </c>
      <c r="H108" s="134">
        <f>SUM(H94+H100+H105)</f>
        <v>1754043.8299999998</v>
      </c>
      <c r="I108" s="134">
        <f>SUM(I94+I100+I105)</f>
        <v>1780354.4874499994</v>
      </c>
      <c r="J108" s="134">
        <f>SUM(J94+J100+J105)</f>
        <v>1563023.5683177495</v>
      </c>
      <c r="K108" s="135">
        <f>SUM(K94+K100+K105)</f>
        <v>1586468.9218425155</v>
      </c>
      <c r="M108" s="1"/>
      <c r="N108" s="1"/>
      <c r="O108" s="1"/>
      <c r="P108" s="1"/>
      <c r="Q108" s="1"/>
    </row>
    <row r="109" spans="2:17" ht="13.5" thickBot="1" x14ac:dyDescent="0.25">
      <c r="C109" s="130" t="s">
        <v>121</v>
      </c>
      <c r="D109" s="131"/>
      <c r="E109" s="132"/>
      <c r="F109" s="133"/>
      <c r="G109" s="136">
        <f>G108</f>
        <v>1750248</v>
      </c>
      <c r="H109" s="136">
        <f>G109+H108</f>
        <v>3504291.83</v>
      </c>
      <c r="I109" s="136">
        <f>H109+I108</f>
        <v>5284646.31745</v>
      </c>
      <c r="J109" s="136">
        <f>I109+J108</f>
        <v>6847669.8857677495</v>
      </c>
      <c r="K109" s="137">
        <f>J109+K108</f>
        <v>8434138.8076102659</v>
      </c>
    </row>
    <row r="110" spans="2:17" x14ac:dyDescent="0.2">
      <c r="C110" s="32" t="s">
        <v>110</v>
      </c>
      <c r="D110" s="40"/>
      <c r="E110" s="19"/>
      <c r="F110" s="19"/>
      <c r="G110" s="82">
        <f t="shared" ref="G110:K116" si="26">SUMIF($D$3:$D$105,$C110,G$3:G$105)</f>
        <v>360528</v>
      </c>
      <c r="H110" s="102">
        <f t="shared" si="26"/>
        <v>281211.83999999997</v>
      </c>
      <c r="I110" s="82">
        <f t="shared" si="26"/>
        <v>285430.01759999996</v>
      </c>
      <c r="J110" s="102">
        <f t="shared" si="26"/>
        <v>241426.22321999996</v>
      </c>
      <c r="K110" s="121">
        <f t="shared" si="26"/>
        <v>245047.61656829994</v>
      </c>
    </row>
    <row r="111" spans="2:17" x14ac:dyDescent="0.2">
      <c r="C111" s="59" t="s">
        <v>111</v>
      </c>
      <c r="D111" s="39"/>
      <c r="E111" s="17"/>
      <c r="F111" s="17"/>
      <c r="G111" s="82">
        <f t="shared" si="26"/>
        <v>0</v>
      </c>
      <c r="H111" s="102">
        <f t="shared" si="26"/>
        <v>0</v>
      </c>
      <c r="I111" s="82">
        <f t="shared" si="26"/>
        <v>0</v>
      </c>
      <c r="J111" s="102">
        <f t="shared" si="26"/>
        <v>0</v>
      </c>
      <c r="K111" s="121">
        <f t="shared" si="26"/>
        <v>0</v>
      </c>
    </row>
    <row r="112" spans="2:17" x14ac:dyDescent="0.2">
      <c r="C112" s="59" t="s">
        <v>112</v>
      </c>
      <c r="D112" s="39"/>
      <c r="E112" s="17"/>
      <c r="F112" s="17"/>
      <c r="G112" s="82">
        <f t="shared" si="26"/>
        <v>0</v>
      </c>
      <c r="H112" s="102">
        <f t="shared" si="26"/>
        <v>0</v>
      </c>
      <c r="I112" s="82">
        <f t="shared" si="26"/>
        <v>0</v>
      </c>
      <c r="J112" s="102">
        <f t="shared" si="26"/>
        <v>0</v>
      </c>
      <c r="K112" s="121">
        <f t="shared" si="26"/>
        <v>0</v>
      </c>
    </row>
    <row r="113" spans="3:11" x14ac:dyDescent="0.2">
      <c r="C113" s="59" t="s">
        <v>113</v>
      </c>
      <c r="D113" s="39"/>
      <c r="E113" s="17"/>
      <c r="F113" s="17"/>
      <c r="G113" s="82">
        <f t="shared" si="26"/>
        <v>0</v>
      </c>
      <c r="H113" s="102">
        <f t="shared" si="26"/>
        <v>0</v>
      </c>
      <c r="I113" s="82">
        <f t="shared" si="26"/>
        <v>0</v>
      </c>
      <c r="J113" s="102">
        <f t="shared" si="26"/>
        <v>0</v>
      </c>
      <c r="K113" s="121">
        <f t="shared" si="26"/>
        <v>0</v>
      </c>
    </row>
    <row r="114" spans="3:11" x14ac:dyDescent="0.2">
      <c r="C114" s="59" t="s">
        <v>49</v>
      </c>
      <c r="D114" s="39"/>
      <c r="E114" s="17"/>
      <c r="F114" s="17"/>
      <c r="G114" s="82">
        <f t="shared" si="26"/>
        <v>1307600</v>
      </c>
      <c r="H114" s="102">
        <f t="shared" si="26"/>
        <v>1435616</v>
      </c>
      <c r="I114" s="82">
        <f t="shared" si="26"/>
        <v>1457150.2399999998</v>
      </c>
      <c r="J114" s="102">
        <f t="shared" si="26"/>
        <v>1283256.5017999997</v>
      </c>
      <c r="K114" s="121">
        <f t="shared" si="26"/>
        <v>1302505.3493269994</v>
      </c>
    </row>
    <row r="115" spans="3:11" x14ac:dyDescent="0.2">
      <c r="C115" s="59" t="s">
        <v>303</v>
      </c>
      <c r="D115" s="39"/>
      <c r="E115" s="17"/>
      <c r="F115" s="17"/>
      <c r="G115" s="82">
        <f t="shared" si="26"/>
        <v>82120</v>
      </c>
      <c r="H115" s="102">
        <f t="shared" si="26"/>
        <v>37215.989999999991</v>
      </c>
      <c r="I115" s="82">
        <f t="shared" si="26"/>
        <v>37774.229849999989</v>
      </c>
      <c r="J115" s="102">
        <f t="shared" si="26"/>
        <v>38340.843297749991</v>
      </c>
      <c r="K115" s="121">
        <f t="shared" si="26"/>
        <v>38915.955947216236</v>
      </c>
    </row>
    <row r="116" spans="3:11" x14ac:dyDescent="0.2">
      <c r="C116" s="59" t="s">
        <v>304</v>
      </c>
      <c r="D116" s="39"/>
      <c r="E116" s="17"/>
      <c r="F116" s="17"/>
      <c r="G116" s="82">
        <f t="shared" si="26"/>
        <v>0</v>
      </c>
      <c r="H116" s="102">
        <f t="shared" si="26"/>
        <v>0</v>
      </c>
      <c r="I116" s="82">
        <f t="shared" si="26"/>
        <v>0</v>
      </c>
      <c r="J116" s="102">
        <f t="shared" si="26"/>
        <v>0</v>
      </c>
      <c r="K116" s="121">
        <f t="shared" si="26"/>
        <v>0</v>
      </c>
    </row>
    <row r="117" spans="3:11" x14ac:dyDescent="0.2">
      <c r="C117" s="59" t="s">
        <v>53</v>
      </c>
      <c r="D117" s="39"/>
      <c r="E117" s="17"/>
      <c r="F117" s="17"/>
      <c r="G117" s="75">
        <f>SUM(G110:G116)</f>
        <v>1750248</v>
      </c>
      <c r="H117" s="95">
        <f t="shared" ref="H117:K117" si="27">SUM(H110:H116)</f>
        <v>1754043.8299999998</v>
      </c>
      <c r="I117" s="75">
        <f t="shared" si="27"/>
        <v>1780354.4874499997</v>
      </c>
      <c r="J117" s="95">
        <f t="shared" si="27"/>
        <v>1563023.5683177498</v>
      </c>
      <c r="K117" s="117">
        <f t="shared" si="27"/>
        <v>1586468.9218425155</v>
      </c>
    </row>
    <row r="118" spans="3:11" ht="13.5" thickBot="1" x14ac:dyDescent="0.25">
      <c r="C118" s="33" t="s">
        <v>96</v>
      </c>
      <c r="D118" s="41"/>
      <c r="E118" s="31"/>
      <c r="F118" s="31"/>
      <c r="G118" s="81">
        <f>SUMIF($D$3:$D$105,$C118,G$3:G$105)</f>
        <v>0</v>
      </c>
      <c r="H118" s="101">
        <f>SUMIF($D$3:$D$105,$C118,H$3:H$105)</f>
        <v>0</v>
      </c>
      <c r="I118" s="81">
        <f>SUMIF($D$3:$D$105,$C118,I$3:I$105)</f>
        <v>0</v>
      </c>
      <c r="J118" s="101">
        <f>SUMIF($D$3:$D$105,$C118,J$3:J$105)</f>
        <v>0</v>
      </c>
      <c r="K118" s="120">
        <f>SUMIF($D$3:$D$105,$C118,K$3:K$105)</f>
        <v>0</v>
      </c>
    </row>
    <row r="120" spans="3:11" ht="13.5" thickBot="1" x14ac:dyDescent="0.25"/>
    <row r="121" spans="3:11" x14ac:dyDescent="0.2">
      <c r="C121" s="58" t="s">
        <v>114</v>
      </c>
      <c r="D121" s="42"/>
      <c r="E121" s="22"/>
      <c r="F121" s="22"/>
      <c r="G121" s="63"/>
      <c r="H121" s="63"/>
      <c r="I121" s="63"/>
      <c r="J121" s="63"/>
      <c r="K121" s="64"/>
    </row>
    <row r="122" spans="3:11" x14ac:dyDescent="0.2">
      <c r="C122" s="59" t="s">
        <v>54</v>
      </c>
      <c r="D122" s="39"/>
      <c r="E122" s="17"/>
      <c r="F122" s="17"/>
      <c r="G122" s="83">
        <f>G$108/((1+0.03)^G$2)</f>
        <v>1699269.9029126214</v>
      </c>
      <c r="H122" s="103">
        <f>H$108/((1+0.03)^H$2)</f>
        <v>1653354.5385993023</v>
      </c>
      <c r="I122" s="83">
        <f>I$108/((1+0.03)^I$2)</f>
        <v>1629276.5598818364</v>
      </c>
      <c r="J122" s="103">
        <f>J$108/((1+0.03)^J$2)</f>
        <v>1388726.1960372834</v>
      </c>
      <c r="K122" s="122">
        <f>K$108/((1+0.03)^K$2)</f>
        <v>1368502.0281338277</v>
      </c>
    </row>
    <row r="123" spans="3:11" x14ac:dyDescent="0.2">
      <c r="C123" s="59" t="s">
        <v>55</v>
      </c>
      <c r="D123" s="39"/>
      <c r="E123" s="17"/>
      <c r="F123" s="17"/>
      <c r="G123" s="83">
        <f>G$108/((1+0.05)^G$2)</f>
        <v>1666902.857142857</v>
      </c>
      <c r="H123" s="103">
        <f>H$108/((1+0.05)^H$2)</f>
        <v>1590969.4603174601</v>
      </c>
      <c r="I123" s="83">
        <f>I$108/((1+0.05)^I$2)</f>
        <v>1537937.1449735444</v>
      </c>
      <c r="J123" s="103">
        <f>J$108/((1+0.05)^J$2)</f>
        <v>1285903.3578130507</v>
      </c>
      <c r="K123" s="122">
        <f>K$108/((1+0.05)^K$2)</f>
        <v>1243039.9125526154</v>
      </c>
    </row>
    <row r="124" spans="3:11" x14ac:dyDescent="0.2">
      <c r="C124" s="59" t="s">
        <v>56</v>
      </c>
      <c r="D124" s="39"/>
      <c r="E124" s="17"/>
      <c r="F124" s="17"/>
      <c r="G124" s="83">
        <f>G$108/((1+0.08)^G$2)</f>
        <v>1620600</v>
      </c>
      <c r="H124" s="103">
        <f>H$108/((1+0.08)^H$2)</f>
        <v>1503809.8679698214</v>
      </c>
      <c r="I124" s="83">
        <f>I$108/((1+0.08)^I$2)</f>
        <v>1413302.7925827485</v>
      </c>
      <c r="J124" s="103">
        <f>J$108/((1+0.08)^J$2)</f>
        <v>1148868.9833379826</v>
      </c>
      <c r="K124" s="122">
        <f>K$108/((1+0.08)^K$2)</f>
        <v>1079724.0908222704</v>
      </c>
    </row>
    <row r="125" spans="3:11" x14ac:dyDescent="0.2">
      <c r="C125" s="59" t="s">
        <v>57</v>
      </c>
      <c r="D125" s="39"/>
      <c r="E125" s="17"/>
      <c r="F125" s="17"/>
      <c r="G125" s="83">
        <f>G$108/((1+0.1)^G$2)</f>
        <v>1591134.5454545454</v>
      </c>
      <c r="H125" s="103">
        <f>H$108/((1+0.1)^H$2)</f>
        <v>1449622.9999999995</v>
      </c>
      <c r="I125" s="83">
        <f>I$108/((1+0.1)^I$2)</f>
        <v>1337606.6772727265</v>
      </c>
      <c r="J125" s="103">
        <f>J$108/((1+0.1)^J$2)</f>
        <v>1067566.1282137486</v>
      </c>
      <c r="K125" s="122">
        <f>K$108/((1+0.1)^K$2)</f>
        <v>985072.38194268581</v>
      </c>
    </row>
    <row r="126" spans="3:11" ht="13.5" thickBot="1" x14ac:dyDescent="0.25">
      <c r="C126" s="33" t="s">
        <v>58</v>
      </c>
      <c r="D126" s="41"/>
      <c r="E126" s="31"/>
      <c r="F126" s="31"/>
      <c r="G126" s="84">
        <f>G$108/((1+0.12)^G$2)</f>
        <v>1562721.4285714284</v>
      </c>
      <c r="H126" s="104">
        <f>H$108/((1+0.12)^H$2)</f>
        <v>1398313.0022321425</v>
      </c>
      <c r="I126" s="84">
        <f>I$108/((1+0.12)^I$2)</f>
        <v>1267221.1582728787</v>
      </c>
      <c r="J126" s="104">
        <f>J$108/((1+0.12)^J$2)</f>
        <v>993329.73463875859</v>
      </c>
      <c r="K126" s="123">
        <f>K$108/((1+0.12)^K$2)</f>
        <v>900205.07201637467</v>
      </c>
    </row>
  </sheetData>
  <pageMargins left="0.7" right="0.7" top="0.75" bottom="0.75" header="0.3" footer="0.3"/>
  <pageSetup scale="43" fitToHeight="0" orientation="landscape" r:id="rId1"/>
  <ignoredErrors>
    <ignoredError sqref="G41:K43 G117:K117 G45:K45 G44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'Validation Lists'!$A$2:$A$12</xm:f>
          </x14:formula1>
          <xm:sqref>D3:D105</xm:sqref>
        </x14:dataValidation>
        <x14:dataValidation type="list" allowBlank="1" showInputMessage="1" showErrorMessage="1">
          <x14:formula1>
            <xm:f>'Validation Lists'!$C$2:$C$4</xm:f>
          </x14:formula1>
          <xm:sqref>F3:F105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72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106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2" width="9.140625" style="1"/>
    <col min="13" max="13" width="12.42578125" style="1" bestFit="1" customWidth="1"/>
    <col min="14" max="16384" width="9.140625" style="1"/>
  </cols>
  <sheetData>
    <row r="1" spans="1:11" x14ac:dyDescent="0.2">
      <c r="A1" s="50" t="s">
        <v>334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ht="15" customHeight="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ht="15" customHeight="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ht="15" customHeight="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ht="15" customHeight="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ht="15" customHeight="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ht="15" customHeight="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ht="15" customHeight="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ht="15" customHeight="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ht="15" customHeight="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ht="15" customHeight="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5.75" customHeight="1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21" t="s">
        <v>103</v>
      </c>
      <c r="D19" s="42" t="s">
        <v>98</v>
      </c>
      <c r="E19" s="22"/>
      <c r="F19" s="22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SUM(G58*G83,G48*G73,G53*G78,G61*G86,G65*G90,G69*G94)/52</f>
        <v>0.89926923076923082</v>
      </c>
      <c r="H21" s="93">
        <f t="shared" ref="H21:K21" si="2">SUM(H58*H83,H48*H73,H53*H78,H61*H86,H65*H90,H69*H94)/52</f>
        <v>0.4375</v>
      </c>
      <c r="I21" s="73">
        <f t="shared" si="2"/>
        <v>0.4375</v>
      </c>
      <c r="J21" s="93">
        <f t="shared" si="2"/>
        <v>0.4375</v>
      </c>
      <c r="K21" s="115">
        <f t="shared" si="2"/>
        <v>0.4375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SUM(G56*G81)/52</f>
        <v>0</v>
      </c>
      <c r="H22" s="93">
        <f t="shared" ref="H22:K22" si="3">SUM(H56*H81)/52</f>
        <v>0</v>
      </c>
      <c r="I22" s="73">
        <f t="shared" si="3"/>
        <v>0</v>
      </c>
      <c r="J22" s="93">
        <f t="shared" si="3"/>
        <v>0</v>
      </c>
      <c r="K22" s="115">
        <f t="shared" si="3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f>SUM(G49*G74,G54*G79,G62*G87,G66*G91,G70*G95)/52</f>
        <v>0.46153846153846156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SUM(G47*G72,G52*G77,G60*G85,G68*G93)/52</f>
        <v>1.375</v>
      </c>
      <c r="H24" s="93">
        <f>SUM(H47*H72,H52*H77,H60*H85,H68*H93)/52</f>
        <v>1.375</v>
      </c>
      <c r="I24" s="73">
        <f>SUM(I47*I72,I52*I77,I60*I85,I68*I93)/52</f>
        <v>1.375</v>
      </c>
      <c r="J24" s="93">
        <f>SUM(J47*J72,J52*J77,J60*J85,J68*J93)/52</f>
        <v>1.375</v>
      </c>
      <c r="K24" s="115">
        <f>SUM(K47*K72,K52*K77,K60*K85,K68*K93)/52</f>
        <v>1.375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f>SUM(G50*G75,G55*G80,G63*G88,G67*G92,G71*G96)/52</f>
        <v>0.76923076923076927</v>
      </c>
      <c r="H25" s="93">
        <f>SUM(H50*H75,H55*H80,H63*H88,H67*H90,H71*H96)/52</f>
        <v>1</v>
      </c>
      <c r="I25" s="73">
        <f>SUM(I50*I75,I55*I80,I63*I88,I67*I90,I71*I96)/52</f>
        <v>1</v>
      </c>
      <c r="J25" s="93">
        <f>SUM(J50*J75,J55*J80,J63*J88,J67*J90,J71*J96)/52</f>
        <v>1</v>
      </c>
      <c r="K25" s="115">
        <f>SUM(K50*K75,K55*K80,K63*K88,K67*K90,K71*K96)/52</f>
        <v>1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SUM(G57*G82)/52</f>
        <v>0.25</v>
      </c>
      <c r="H27" s="93">
        <f t="shared" ref="H27:K27" si="4">SUM(H57*H82)/52</f>
        <v>0.25</v>
      </c>
      <c r="I27" s="73">
        <f t="shared" si="4"/>
        <v>0.25</v>
      </c>
      <c r="J27" s="93">
        <f t="shared" si="4"/>
        <v>0.25</v>
      </c>
      <c r="K27" s="115">
        <f t="shared" si="4"/>
        <v>0.25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SUM(G51*G76,G56*G81,G59*G84,G64*G89)/52</f>
        <v>0.1875</v>
      </c>
      <c r="H28" s="93">
        <f t="shared" ref="H28:K28" si="5">SUM(H51*H76,H56*H81,H59*H84,H64*H89)/52</f>
        <v>0.1875</v>
      </c>
      <c r="I28" s="73">
        <f t="shared" si="5"/>
        <v>0.1875</v>
      </c>
      <c r="J28" s="93">
        <f t="shared" si="5"/>
        <v>0.1875</v>
      </c>
      <c r="K28" s="115">
        <f t="shared" si="5"/>
        <v>0.1875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3</v>
      </c>
      <c r="H31" s="92">
        <f t="shared" ref="H31:K31" si="6">ROUND(H19,0)+ROUND(H20,0)+ROUND(H21,0)+ROUND(H22,0)+ROUND(H23,0)+ROUND(H24,0)+ROUND(H25,0)+ROUND(H26,0)+ROUND(H27,0)+ROUND(H28,0)+ROUND(H29,0)+ROUND(H30,0)</f>
        <v>2</v>
      </c>
      <c r="I31" s="71">
        <f t="shared" si="6"/>
        <v>2</v>
      </c>
      <c r="J31" s="92">
        <f t="shared" si="6"/>
        <v>2</v>
      </c>
      <c r="K31" s="114">
        <f t="shared" si="6"/>
        <v>2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G48+G53+G56+G58+G61+G65+G69</f>
        <v>3.3369999999999997</v>
      </c>
      <c r="H32" s="90">
        <f t="shared" ref="H32:K32" si="7">H48+H53+H56+H58+H61+H65+H69</f>
        <v>0.4375</v>
      </c>
      <c r="I32" s="69">
        <f t="shared" si="7"/>
        <v>0.4375</v>
      </c>
      <c r="J32" s="90">
        <f t="shared" si="7"/>
        <v>0.4375</v>
      </c>
      <c r="K32" s="112">
        <f t="shared" si="7"/>
        <v>0.4375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f>G49+G54+G62+G66+G70</f>
        <v>4</v>
      </c>
      <c r="H33" s="93">
        <f t="shared" ref="H33:K33" si="8">H49+H54+H62+H66+H70</f>
        <v>0</v>
      </c>
      <c r="I33" s="73">
        <f t="shared" si="8"/>
        <v>0</v>
      </c>
      <c r="J33" s="93">
        <f t="shared" si="8"/>
        <v>0</v>
      </c>
      <c r="K33" s="115">
        <f t="shared" si="8"/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G47+G52+G60+G68</f>
        <v>2.75</v>
      </c>
      <c r="H34" s="93">
        <f t="shared" ref="H34:K34" si="9">H47+H52+H60+H68</f>
        <v>1.375</v>
      </c>
      <c r="I34" s="73">
        <f t="shared" si="9"/>
        <v>1.375</v>
      </c>
      <c r="J34" s="93">
        <f t="shared" si="9"/>
        <v>1.375</v>
      </c>
      <c r="K34" s="115">
        <f t="shared" si="9"/>
        <v>1.375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f>G50+G55+G63+G67+G71</f>
        <v>2</v>
      </c>
      <c r="H35" s="93">
        <f t="shared" ref="H35:K35" si="10">H50+H55+H63+H67+H71</f>
        <v>1</v>
      </c>
      <c r="I35" s="73">
        <f t="shared" si="10"/>
        <v>1</v>
      </c>
      <c r="J35" s="93">
        <f t="shared" si="10"/>
        <v>1</v>
      </c>
      <c r="K35" s="115">
        <f t="shared" si="10"/>
        <v>1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13</v>
      </c>
      <c r="H38" s="93">
        <f t="shared" ref="H38:K38" si="11">ROUNDUP(H32+H33+H34+H35+H36-H37,0)</f>
        <v>3</v>
      </c>
      <c r="I38" s="73">
        <f t="shared" si="11"/>
        <v>3</v>
      </c>
      <c r="J38" s="93">
        <f t="shared" si="11"/>
        <v>3</v>
      </c>
      <c r="K38" s="115">
        <f t="shared" si="11"/>
        <v>3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1</v>
      </c>
      <c r="I39" s="73">
        <v>2</v>
      </c>
      <c r="J39" s="93">
        <v>3</v>
      </c>
      <c r="K39" s="115">
        <v>4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2">H39</f>
        <v>1</v>
      </c>
      <c r="I40" s="73">
        <f t="shared" si="12"/>
        <v>2</v>
      </c>
      <c r="J40" s="93">
        <f t="shared" si="12"/>
        <v>3</v>
      </c>
      <c r="K40" s="115">
        <f t="shared" si="12"/>
        <v>4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13">IF(H40-H39&gt;0,H40-H39,0)</f>
        <v>0</v>
      </c>
      <c r="I41" s="73">
        <f t="shared" si="13"/>
        <v>0</v>
      </c>
      <c r="J41" s="93">
        <f t="shared" si="13"/>
        <v>0</v>
      </c>
      <c r="K41" s="115">
        <f t="shared" si="13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14">H41</f>
        <v>0</v>
      </c>
      <c r="I42" s="73">
        <f t="shared" si="14"/>
        <v>0</v>
      </c>
      <c r="J42" s="93">
        <f t="shared" si="14"/>
        <v>0</v>
      </c>
      <c r="K42" s="115">
        <f t="shared" si="14"/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3</v>
      </c>
      <c r="H43" s="93">
        <f t="shared" ref="H43:K43" si="15">ROUND(H21,0)+ROUND(H22,0)+ROUND(H23,0)+ROUND(H24,0)+ROUND(H25,0)+ROUND(H26,0)-ROUND(H36,0)</f>
        <v>2</v>
      </c>
      <c r="I43" s="73">
        <f t="shared" si="15"/>
        <v>2</v>
      </c>
      <c r="J43" s="93">
        <f t="shared" si="15"/>
        <v>2</v>
      </c>
      <c r="K43" s="115">
        <f t="shared" si="15"/>
        <v>2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3</v>
      </c>
      <c r="H44" s="93">
        <f>IF(H43-G43&gt;0,H43-G43,0)</f>
        <v>0</v>
      </c>
      <c r="I44" s="73">
        <f t="shared" ref="I44:K44" si="16">IF(I43-H43&gt;0,I43-H43,0)</f>
        <v>0</v>
      </c>
      <c r="J44" s="93">
        <f t="shared" si="16"/>
        <v>0</v>
      </c>
      <c r="K44" s="115">
        <f t="shared" si="16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 t="shared" ref="H45:K45" si="17">ROUND(H27,0)+ROUND(H28,0)+ROUND(H29,0)+ROUND(H30,0)</f>
        <v>0</v>
      </c>
      <c r="I45" s="73">
        <f t="shared" si="17"/>
        <v>0</v>
      </c>
      <c r="J45" s="93">
        <f t="shared" si="17"/>
        <v>0</v>
      </c>
      <c r="K45" s="115">
        <f t="shared" si="17"/>
        <v>0</v>
      </c>
    </row>
    <row r="46" spans="1:11" ht="13.5" thickBot="1" x14ac:dyDescent="0.25">
      <c r="A46" s="150"/>
      <c r="B46" s="51"/>
      <c r="C46" s="30" t="s">
        <v>41</v>
      </c>
      <c r="D46" s="44" t="s">
        <v>98</v>
      </c>
      <c r="E46" s="18"/>
      <c r="F46" s="18" t="s">
        <v>98</v>
      </c>
      <c r="G46" s="145">
        <f>G45</f>
        <v>0</v>
      </c>
      <c r="H46" s="92">
        <f>IF(H45-G45&gt;0,H45-G45,0)</f>
        <v>0</v>
      </c>
      <c r="I46" s="71">
        <f t="shared" ref="I46" si="18">IF(I45-H45&gt;0,I45-H45,0)</f>
        <v>0</v>
      </c>
      <c r="J46" s="92">
        <f t="shared" ref="J46" si="19">IF(J45-I45&gt;0,J45-I45,0)</f>
        <v>0</v>
      </c>
      <c r="K46" s="114">
        <f t="shared" ref="K46" si="20">IF(K45-J45&gt;0,K45-J45,0)</f>
        <v>0</v>
      </c>
    </row>
    <row r="47" spans="1:11" x14ac:dyDescent="0.2">
      <c r="A47" s="48" t="s">
        <v>317</v>
      </c>
      <c r="B47" s="48" t="s">
        <v>318</v>
      </c>
      <c r="C47" s="21" t="s">
        <v>294</v>
      </c>
      <c r="D47" s="220" t="s">
        <v>98</v>
      </c>
      <c r="E47" s="22"/>
      <c r="F47" s="22" t="s">
        <v>98</v>
      </c>
      <c r="G47" s="69">
        <v>0.5</v>
      </c>
      <c r="H47" s="90">
        <v>0.25</v>
      </c>
      <c r="I47" s="69">
        <v>0.25</v>
      </c>
      <c r="J47" s="90">
        <v>0.25</v>
      </c>
      <c r="K47" s="112">
        <v>0.25</v>
      </c>
    </row>
    <row r="48" spans="1:11" x14ac:dyDescent="0.2">
      <c r="A48" s="48"/>
      <c r="B48" s="48"/>
      <c r="C48" s="13" t="s">
        <v>357</v>
      </c>
      <c r="D48" s="224" t="s">
        <v>98</v>
      </c>
      <c r="E48" s="19"/>
      <c r="F48" s="19"/>
      <c r="G48" s="70">
        <f>0.231+0.25</f>
        <v>0.48099999999999998</v>
      </c>
      <c r="H48" s="91">
        <v>0.125</v>
      </c>
      <c r="I48" s="70">
        <v>0.125</v>
      </c>
      <c r="J48" s="91">
        <v>0.125</v>
      </c>
      <c r="K48" s="113">
        <v>0.125</v>
      </c>
    </row>
    <row r="49" spans="1:11" x14ac:dyDescent="0.2">
      <c r="A49" s="48"/>
      <c r="B49" s="48"/>
      <c r="C49" s="13" t="s">
        <v>358</v>
      </c>
      <c r="D49" s="224" t="s">
        <v>98</v>
      </c>
      <c r="E49" s="19"/>
      <c r="F49" s="19"/>
      <c r="G49" s="70">
        <v>1</v>
      </c>
      <c r="H49" s="91">
        <v>0</v>
      </c>
      <c r="I49" s="70">
        <v>0</v>
      </c>
      <c r="J49" s="91">
        <v>0</v>
      </c>
      <c r="K49" s="113">
        <v>0</v>
      </c>
    </row>
    <row r="50" spans="1:11" x14ac:dyDescent="0.2">
      <c r="A50" s="48"/>
      <c r="B50" s="48"/>
      <c r="C50" s="14" t="s">
        <v>359</v>
      </c>
      <c r="D50" s="39" t="s">
        <v>98</v>
      </c>
      <c r="E50" s="17"/>
      <c r="F50" s="17" t="s">
        <v>98</v>
      </c>
      <c r="G50" s="73">
        <v>0.5</v>
      </c>
      <c r="H50" s="93">
        <v>0.25</v>
      </c>
      <c r="I50" s="73">
        <v>0.25</v>
      </c>
      <c r="J50" s="93">
        <v>0.25</v>
      </c>
      <c r="K50" s="115">
        <v>0.25</v>
      </c>
    </row>
    <row r="51" spans="1:11" x14ac:dyDescent="0.2">
      <c r="A51" s="48"/>
      <c r="B51" s="48"/>
      <c r="C51" s="14" t="s">
        <v>295</v>
      </c>
      <c r="D51" s="39" t="s">
        <v>98</v>
      </c>
      <c r="E51" s="17"/>
      <c r="F51" s="17" t="s">
        <v>98</v>
      </c>
      <c r="G51" s="73">
        <v>0.25</v>
      </c>
      <c r="H51" s="93">
        <v>0.125</v>
      </c>
      <c r="I51" s="73">
        <v>0.125</v>
      </c>
      <c r="J51" s="93">
        <v>0.125</v>
      </c>
      <c r="K51" s="115">
        <v>0.125</v>
      </c>
    </row>
    <row r="52" spans="1:11" x14ac:dyDescent="0.2">
      <c r="A52" s="48"/>
      <c r="B52" s="48"/>
      <c r="C52" s="3" t="s">
        <v>296</v>
      </c>
      <c r="D52" s="39" t="s">
        <v>98</v>
      </c>
      <c r="E52" s="17"/>
      <c r="F52" s="17" t="s">
        <v>98</v>
      </c>
      <c r="G52" s="73">
        <v>1</v>
      </c>
      <c r="H52" s="93">
        <v>0.5</v>
      </c>
      <c r="I52" s="73">
        <v>0.5</v>
      </c>
      <c r="J52" s="93">
        <v>0.5</v>
      </c>
      <c r="K52" s="115">
        <v>0.5</v>
      </c>
    </row>
    <row r="53" spans="1:11" x14ac:dyDescent="0.2">
      <c r="A53" s="48"/>
      <c r="B53" s="48"/>
      <c r="C53" s="3" t="s">
        <v>360</v>
      </c>
      <c r="D53" s="39" t="s">
        <v>98</v>
      </c>
      <c r="E53" s="17"/>
      <c r="F53" s="17"/>
      <c r="G53" s="73">
        <v>1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48"/>
      <c r="C54" s="3" t="s">
        <v>361</v>
      </c>
      <c r="D54" s="39" t="s">
        <v>98</v>
      </c>
      <c r="E54" s="17"/>
      <c r="F54" s="17"/>
      <c r="G54" s="73">
        <v>1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48"/>
      <c r="C55" s="3" t="s">
        <v>362</v>
      </c>
      <c r="D55" s="39" t="s">
        <v>98</v>
      </c>
      <c r="E55" s="17"/>
      <c r="F55" s="17" t="s">
        <v>98</v>
      </c>
      <c r="G55" s="73">
        <v>0.5</v>
      </c>
      <c r="H55" s="93">
        <v>0.25</v>
      </c>
      <c r="I55" s="73">
        <v>0.25</v>
      </c>
      <c r="J55" s="93">
        <v>0.25</v>
      </c>
      <c r="K55" s="115">
        <v>0.25</v>
      </c>
    </row>
    <row r="56" spans="1:11" x14ac:dyDescent="0.2">
      <c r="A56" s="48"/>
      <c r="B56" s="48"/>
      <c r="C56" s="14" t="s">
        <v>412</v>
      </c>
      <c r="D56" s="39" t="s">
        <v>98</v>
      </c>
      <c r="E56" s="17"/>
      <c r="F56" s="17" t="s">
        <v>98</v>
      </c>
      <c r="G56" s="73">
        <v>0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48"/>
      <c r="C57" s="14" t="s">
        <v>297</v>
      </c>
      <c r="D57" s="39" t="s">
        <v>98</v>
      </c>
      <c r="E57" s="17"/>
      <c r="F57" s="17" t="s">
        <v>98</v>
      </c>
      <c r="G57" s="73">
        <v>0.5</v>
      </c>
      <c r="H57" s="93">
        <v>0.25</v>
      </c>
      <c r="I57" s="73">
        <v>0.25</v>
      </c>
      <c r="J57" s="93">
        <v>0.25</v>
      </c>
      <c r="K57" s="115">
        <v>0.25</v>
      </c>
    </row>
    <row r="58" spans="1:11" x14ac:dyDescent="0.2">
      <c r="A58" s="48"/>
      <c r="B58" s="48"/>
      <c r="C58" s="3" t="s">
        <v>298</v>
      </c>
      <c r="D58" s="39" t="s">
        <v>98</v>
      </c>
      <c r="E58" s="17"/>
      <c r="F58" s="17" t="s">
        <v>98</v>
      </c>
      <c r="G58" s="73">
        <v>0.5</v>
      </c>
      <c r="H58" s="93">
        <v>0.25</v>
      </c>
      <c r="I58" s="73">
        <v>0.25</v>
      </c>
      <c r="J58" s="93">
        <v>0.25</v>
      </c>
      <c r="K58" s="115">
        <v>0.25</v>
      </c>
    </row>
    <row r="59" spans="1:11" x14ac:dyDescent="0.2">
      <c r="A59" s="48"/>
      <c r="B59" s="48"/>
      <c r="C59" s="14" t="s">
        <v>299</v>
      </c>
      <c r="D59" s="39" t="s">
        <v>98</v>
      </c>
      <c r="E59" s="17"/>
      <c r="F59" s="17" t="s">
        <v>98</v>
      </c>
      <c r="G59" s="73">
        <v>0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48"/>
      <c r="C60" s="3" t="s">
        <v>300</v>
      </c>
      <c r="D60" s="39" t="s">
        <v>98</v>
      </c>
      <c r="E60" s="17"/>
      <c r="F60" s="17" t="s">
        <v>98</v>
      </c>
      <c r="G60" s="73">
        <v>1</v>
      </c>
      <c r="H60" s="93">
        <v>0.5</v>
      </c>
      <c r="I60" s="73">
        <v>0.5</v>
      </c>
      <c r="J60" s="93">
        <v>0.5</v>
      </c>
      <c r="K60" s="115">
        <v>0.5</v>
      </c>
    </row>
    <row r="61" spans="1:11" x14ac:dyDescent="0.2">
      <c r="A61" s="48"/>
      <c r="B61" s="48"/>
      <c r="C61" s="3" t="s">
        <v>363</v>
      </c>
      <c r="D61" s="39" t="s">
        <v>98</v>
      </c>
      <c r="E61" s="17"/>
      <c r="F61" s="17"/>
      <c r="G61" s="73">
        <f>0.231+0.125</f>
        <v>0.35599999999999998</v>
      </c>
      <c r="H61" s="93">
        <v>6.25E-2</v>
      </c>
      <c r="I61" s="73">
        <v>6.25E-2</v>
      </c>
      <c r="J61" s="93">
        <v>6.25E-2</v>
      </c>
      <c r="K61" s="115">
        <v>6.25E-2</v>
      </c>
    </row>
    <row r="62" spans="1:11" x14ac:dyDescent="0.2">
      <c r="A62" s="48"/>
      <c r="B62" s="48"/>
      <c r="C62" s="3" t="s">
        <v>364</v>
      </c>
      <c r="D62" s="39" t="s">
        <v>98</v>
      </c>
      <c r="E62" s="17"/>
      <c r="F62" s="17"/>
      <c r="G62" s="73">
        <v>1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48"/>
      <c r="C63" s="3" t="s">
        <v>365</v>
      </c>
      <c r="D63" s="39" t="s">
        <v>98</v>
      </c>
      <c r="E63" s="17"/>
      <c r="F63" s="17" t="s">
        <v>98</v>
      </c>
      <c r="G63" s="73">
        <v>0.5</v>
      </c>
      <c r="H63" s="93">
        <v>0.25</v>
      </c>
      <c r="I63" s="73">
        <v>0.25</v>
      </c>
      <c r="J63" s="93">
        <v>0.25</v>
      </c>
      <c r="K63" s="115">
        <v>0.25</v>
      </c>
    </row>
    <row r="64" spans="1:11" x14ac:dyDescent="0.2">
      <c r="A64" s="48"/>
      <c r="B64" s="48"/>
      <c r="C64" s="14" t="s">
        <v>301</v>
      </c>
      <c r="D64" s="39" t="s">
        <v>98</v>
      </c>
      <c r="E64" s="17"/>
      <c r="F64" s="17" t="s">
        <v>98</v>
      </c>
      <c r="G64" s="73">
        <v>0.125</v>
      </c>
      <c r="H64" s="93">
        <v>6.25E-2</v>
      </c>
      <c r="I64" s="73">
        <v>6.25E-2</v>
      </c>
      <c r="J64" s="93">
        <v>6.25E-2</v>
      </c>
      <c r="K64" s="115">
        <v>6.25E-2</v>
      </c>
    </row>
    <row r="65" spans="1:11" x14ac:dyDescent="0.2">
      <c r="A65" s="48"/>
      <c r="B65" s="48"/>
      <c r="C65" s="14" t="s">
        <v>366</v>
      </c>
      <c r="D65" s="39" t="s">
        <v>98</v>
      </c>
      <c r="E65" s="17"/>
      <c r="F65" s="17"/>
      <c r="G65" s="73">
        <v>0.5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48"/>
      <c r="C66" s="14" t="s">
        <v>367</v>
      </c>
      <c r="D66" s="39" t="s">
        <v>98</v>
      </c>
      <c r="E66" s="17"/>
      <c r="F66" s="17"/>
      <c r="G66" s="73">
        <v>0.5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48"/>
      <c r="B67" s="48"/>
      <c r="C67" s="3" t="s">
        <v>368</v>
      </c>
      <c r="D67" s="39" t="s">
        <v>98</v>
      </c>
      <c r="E67" s="17"/>
      <c r="F67" s="17" t="s">
        <v>98</v>
      </c>
      <c r="G67" s="73">
        <v>0.25</v>
      </c>
      <c r="H67" s="93">
        <v>0.125</v>
      </c>
      <c r="I67" s="73">
        <v>0.125</v>
      </c>
      <c r="J67" s="93">
        <v>0.125</v>
      </c>
      <c r="K67" s="115">
        <v>0.125</v>
      </c>
    </row>
    <row r="68" spans="1:11" x14ac:dyDescent="0.2">
      <c r="A68" s="48"/>
      <c r="B68" s="48"/>
      <c r="C68" s="3" t="s">
        <v>302</v>
      </c>
      <c r="D68" s="39" t="s">
        <v>98</v>
      </c>
      <c r="E68" s="17"/>
      <c r="F68" s="17" t="s">
        <v>98</v>
      </c>
      <c r="G68" s="73">
        <v>0.25</v>
      </c>
      <c r="H68" s="93">
        <v>0.125</v>
      </c>
      <c r="I68" s="73">
        <v>0.125</v>
      </c>
      <c r="J68" s="93">
        <v>0.125</v>
      </c>
      <c r="K68" s="115">
        <v>0.125</v>
      </c>
    </row>
    <row r="69" spans="1:11" x14ac:dyDescent="0.2">
      <c r="A69" s="48"/>
      <c r="B69" s="48"/>
      <c r="C69" s="11" t="s">
        <v>369</v>
      </c>
      <c r="D69" s="39" t="s">
        <v>98</v>
      </c>
      <c r="E69" s="18"/>
      <c r="F69" s="18"/>
      <c r="G69" s="145">
        <v>0.5</v>
      </c>
      <c r="H69" s="146">
        <v>0</v>
      </c>
      <c r="I69" s="145">
        <v>0</v>
      </c>
      <c r="J69" s="146">
        <v>0</v>
      </c>
      <c r="K69" s="147">
        <v>0</v>
      </c>
    </row>
    <row r="70" spans="1:11" x14ac:dyDescent="0.2">
      <c r="A70" s="48"/>
      <c r="B70" s="48"/>
      <c r="C70" s="11" t="s">
        <v>370</v>
      </c>
      <c r="D70" s="39" t="s">
        <v>98</v>
      </c>
      <c r="E70" s="18"/>
      <c r="F70" s="18"/>
      <c r="G70" s="145">
        <v>0.5</v>
      </c>
      <c r="H70" s="146">
        <v>0</v>
      </c>
      <c r="I70" s="145">
        <v>0</v>
      </c>
      <c r="J70" s="146">
        <v>0</v>
      </c>
      <c r="K70" s="147">
        <v>0</v>
      </c>
    </row>
    <row r="71" spans="1:11" ht="13.5" thickBot="1" x14ac:dyDescent="0.25">
      <c r="A71" s="48"/>
      <c r="B71" s="48"/>
      <c r="C71" s="11" t="s">
        <v>371</v>
      </c>
      <c r="D71" s="44" t="s">
        <v>98</v>
      </c>
      <c r="E71" s="18"/>
      <c r="F71" s="18" t="s">
        <v>98</v>
      </c>
      <c r="G71" s="145">
        <v>0.25</v>
      </c>
      <c r="H71" s="146">
        <v>0.125</v>
      </c>
      <c r="I71" s="145">
        <v>0.125</v>
      </c>
      <c r="J71" s="146">
        <v>0.125</v>
      </c>
      <c r="K71" s="147">
        <v>0.125</v>
      </c>
    </row>
    <row r="72" spans="1:11" x14ac:dyDescent="0.2">
      <c r="A72" s="169" t="s">
        <v>320</v>
      </c>
      <c r="B72" s="169" t="s">
        <v>318</v>
      </c>
      <c r="C72" s="173" t="s">
        <v>372</v>
      </c>
      <c r="D72" s="38" t="s">
        <v>98</v>
      </c>
      <c r="E72" s="22"/>
      <c r="F72" s="22" t="s">
        <v>98</v>
      </c>
      <c r="G72" s="69">
        <v>26</v>
      </c>
      <c r="H72" s="90">
        <v>52</v>
      </c>
      <c r="I72" s="69">
        <v>52</v>
      </c>
      <c r="J72" s="90">
        <v>52</v>
      </c>
      <c r="K72" s="112">
        <v>52</v>
      </c>
    </row>
    <row r="73" spans="1:11" x14ac:dyDescent="0.2">
      <c r="A73" s="48"/>
      <c r="B73" s="48"/>
      <c r="C73" s="3" t="s">
        <v>379</v>
      </c>
      <c r="D73" s="39" t="s">
        <v>98</v>
      </c>
      <c r="E73" s="19"/>
      <c r="F73" s="19"/>
      <c r="G73" s="70">
        <v>26</v>
      </c>
      <c r="H73" s="91">
        <v>52</v>
      </c>
      <c r="I73" s="70">
        <v>52</v>
      </c>
      <c r="J73" s="91">
        <v>52</v>
      </c>
      <c r="K73" s="113">
        <v>52</v>
      </c>
    </row>
    <row r="74" spans="1:11" x14ac:dyDescent="0.2">
      <c r="A74" s="48"/>
      <c r="B74" s="48"/>
      <c r="C74" s="13" t="s">
        <v>380</v>
      </c>
      <c r="D74" s="40" t="s">
        <v>98</v>
      </c>
      <c r="E74" s="19"/>
      <c r="F74" s="19"/>
      <c r="G74" s="70">
        <v>6</v>
      </c>
      <c r="H74" s="91">
        <v>0</v>
      </c>
      <c r="I74" s="70">
        <v>0</v>
      </c>
      <c r="J74" s="91">
        <v>0</v>
      </c>
      <c r="K74" s="113">
        <v>0</v>
      </c>
    </row>
    <row r="75" spans="1:11" x14ac:dyDescent="0.2">
      <c r="A75" s="48"/>
      <c r="B75" s="48"/>
      <c r="C75" s="3" t="s">
        <v>373</v>
      </c>
      <c r="D75" s="39" t="s">
        <v>98</v>
      </c>
      <c r="E75" s="17"/>
      <c r="F75" s="17" t="s">
        <v>98</v>
      </c>
      <c r="G75" s="73">
        <v>20</v>
      </c>
      <c r="H75" s="93">
        <v>52</v>
      </c>
      <c r="I75" s="73">
        <v>52</v>
      </c>
      <c r="J75" s="93">
        <v>52</v>
      </c>
      <c r="K75" s="115">
        <v>52</v>
      </c>
    </row>
    <row r="76" spans="1:11" x14ac:dyDescent="0.2">
      <c r="A76" s="48"/>
      <c r="B76" s="48"/>
      <c r="C76" s="3" t="s">
        <v>295</v>
      </c>
      <c r="D76" s="39" t="s">
        <v>98</v>
      </c>
      <c r="E76" s="17"/>
      <c r="F76" s="17" t="s">
        <v>98</v>
      </c>
      <c r="G76" s="73">
        <v>26</v>
      </c>
      <c r="H76" s="93">
        <v>52</v>
      </c>
      <c r="I76" s="73">
        <v>52</v>
      </c>
      <c r="J76" s="93">
        <v>52</v>
      </c>
      <c r="K76" s="115">
        <v>52</v>
      </c>
    </row>
    <row r="77" spans="1:11" x14ac:dyDescent="0.2">
      <c r="A77" s="48"/>
      <c r="B77" s="48"/>
      <c r="C77" s="3" t="s">
        <v>296</v>
      </c>
      <c r="D77" s="39" t="s">
        <v>98</v>
      </c>
      <c r="E77" s="17"/>
      <c r="F77" s="17" t="s">
        <v>98</v>
      </c>
      <c r="G77" s="73">
        <v>26</v>
      </c>
      <c r="H77" s="93">
        <v>52</v>
      </c>
      <c r="I77" s="73">
        <v>52</v>
      </c>
      <c r="J77" s="93">
        <v>52</v>
      </c>
      <c r="K77" s="115">
        <v>52</v>
      </c>
    </row>
    <row r="78" spans="1:11" x14ac:dyDescent="0.2">
      <c r="A78" s="48"/>
      <c r="B78" s="48"/>
      <c r="C78" s="3" t="s">
        <v>360</v>
      </c>
      <c r="D78" s="39" t="s">
        <v>98</v>
      </c>
      <c r="E78" s="17"/>
      <c r="F78" s="17"/>
      <c r="G78" s="73">
        <v>6</v>
      </c>
      <c r="H78" s="93">
        <v>0</v>
      </c>
      <c r="I78" s="73">
        <v>0</v>
      </c>
      <c r="J78" s="93">
        <v>0</v>
      </c>
      <c r="K78" s="115">
        <v>0</v>
      </c>
    </row>
    <row r="79" spans="1:11" x14ac:dyDescent="0.2">
      <c r="A79" s="48"/>
      <c r="B79" s="48"/>
      <c r="C79" s="3" t="s">
        <v>361</v>
      </c>
      <c r="D79" s="39" t="s">
        <v>98</v>
      </c>
      <c r="E79" s="17"/>
      <c r="F79" s="17"/>
      <c r="G79" s="73">
        <v>6</v>
      </c>
      <c r="H79" s="93">
        <v>0</v>
      </c>
      <c r="I79" s="73">
        <v>0</v>
      </c>
      <c r="J79" s="93">
        <v>0</v>
      </c>
      <c r="K79" s="115">
        <v>0</v>
      </c>
    </row>
    <row r="80" spans="1:11" x14ac:dyDescent="0.2">
      <c r="A80" s="48"/>
      <c r="B80" s="48"/>
      <c r="C80" s="3" t="s">
        <v>362</v>
      </c>
      <c r="D80" s="39" t="s">
        <v>98</v>
      </c>
      <c r="E80" s="17"/>
      <c r="F80" s="17" t="s">
        <v>98</v>
      </c>
      <c r="G80" s="73">
        <v>20</v>
      </c>
      <c r="H80" s="93">
        <v>52</v>
      </c>
      <c r="I80" s="73">
        <v>52</v>
      </c>
      <c r="J80" s="93">
        <v>52</v>
      </c>
      <c r="K80" s="115">
        <v>52</v>
      </c>
    </row>
    <row r="81" spans="1:13" x14ac:dyDescent="0.2">
      <c r="A81" s="48"/>
      <c r="B81" s="48"/>
      <c r="C81" s="3" t="s">
        <v>413</v>
      </c>
      <c r="D81" s="39" t="s">
        <v>98</v>
      </c>
      <c r="E81" s="17"/>
      <c r="F81" s="17" t="s">
        <v>98</v>
      </c>
      <c r="G81" s="73">
        <v>26</v>
      </c>
      <c r="H81" s="93">
        <v>52</v>
      </c>
      <c r="I81" s="73">
        <v>52</v>
      </c>
      <c r="J81" s="93">
        <v>52</v>
      </c>
      <c r="K81" s="115">
        <v>52</v>
      </c>
    </row>
    <row r="82" spans="1:13" x14ac:dyDescent="0.2">
      <c r="A82" s="48"/>
      <c r="B82" s="48"/>
      <c r="C82" s="3" t="s">
        <v>374</v>
      </c>
      <c r="D82" s="39" t="s">
        <v>98</v>
      </c>
      <c r="E82" s="17"/>
      <c r="F82" s="17" t="s">
        <v>98</v>
      </c>
      <c r="G82" s="73">
        <v>26</v>
      </c>
      <c r="H82" s="93">
        <v>52</v>
      </c>
      <c r="I82" s="73">
        <v>52</v>
      </c>
      <c r="J82" s="93">
        <v>52</v>
      </c>
      <c r="K82" s="115">
        <v>52</v>
      </c>
    </row>
    <row r="83" spans="1:13" x14ac:dyDescent="0.2">
      <c r="A83" s="48"/>
      <c r="B83" s="48"/>
      <c r="C83" s="3" t="s">
        <v>375</v>
      </c>
      <c r="D83" s="39" t="s">
        <v>98</v>
      </c>
      <c r="E83" s="17"/>
      <c r="F83" s="17" t="s">
        <v>98</v>
      </c>
      <c r="G83" s="73">
        <v>26</v>
      </c>
      <c r="H83" s="93">
        <v>52</v>
      </c>
      <c r="I83" s="73">
        <v>52</v>
      </c>
      <c r="J83" s="93">
        <v>52</v>
      </c>
      <c r="K83" s="115">
        <v>52</v>
      </c>
    </row>
    <row r="84" spans="1:13" x14ac:dyDescent="0.2">
      <c r="A84" s="48"/>
      <c r="B84" s="48"/>
      <c r="C84" s="3" t="s">
        <v>376</v>
      </c>
      <c r="D84" s="39" t="s">
        <v>98</v>
      </c>
      <c r="E84" s="17"/>
      <c r="F84" s="17" t="s">
        <v>98</v>
      </c>
      <c r="G84" s="73">
        <v>0</v>
      </c>
      <c r="H84" s="93">
        <v>0</v>
      </c>
      <c r="I84" s="73">
        <v>0</v>
      </c>
      <c r="J84" s="93">
        <v>0</v>
      </c>
      <c r="K84" s="115">
        <v>0</v>
      </c>
    </row>
    <row r="85" spans="1:13" x14ac:dyDescent="0.2">
      <c r="A85" s="48"/>
      <c r="B85" s="48"/>
      <c r="C85" s="3" t="s">
        <v>377</v>
      </c>
      <c r="D85" s="39" t="s">
        <v>98</v>
      </c>
      <c r="E85" s="17"/>
      <c r="F85" s="17" t="s">
        <v>98</v>
      </c>
      <c r="G85" s="73">
        <v>26</v>
      </c>
      <c r="H85" s="93">
        <v>52</v>
      </c>
      <c r="I85" s="73">
        <v>52</v>
      </c>
      <c r="J85" s="93">
        <v>52</v>
      </c>
      <c r="K85" s="115">
        <v>52</v>
      </c>
    </row>
    <row r="86" spans="1:13" x14ac:dyDescent="0.2">
      <c r="A86" s="48"/>
      <c r="B86" s="48"/>
      <c r="C86" s="3" t="s">
        <v>381</v>
      </c>
      <c r="D86" s="39" t="s">
        <v>98</v>
      </c>
      <c r="E86" s="17"/>
      <c r="F86" s="17"/>
      <c r="G86" s="73">
        <v>26</v>
      </c>
      <c r="H86" s="93">
        <v>52</v>
      </c>
      <c r="I86" s="73">
        <v>52</v>
      </c>
      <c r="J86" s="93">
        <v>52</v>
      </c>
      <c r="K86" s="115">
        <v>52</v>
      </c>
    </row>
    <row r="87" spans="1:13" x14ac:dyDescent="0.2">
      <c r="A87" s="48"/>
      <c r="B87" s="48"/>
      <c r="C87" s="3" t="s">
        <v>382</v>
      </c>
      <c r="D87" s="39" t="s">
        <v>98</v>
      </c>
      <c r="E87" s="17"/>
      <c r="F87" s="17"/>
      <c r="G87" s="73">
        <v>6</v>
      </c>
      <c r="H87" s="93">
        <v>0</v>
      </c>
      <c r="I87" s="73">
        <v>0</v>
      </c>
      <c r="J87" s="93">
        <v>0</v>
      </c>
      <c r="K87" s="115">
        <v>0</v>
      </c>
    </row>
    <row r="88" spans="1:13" x14ac:dyDescent="0.2">
      <c r="A88" s="48"/>
      <c r="B88" s="48"/>
      <c r="C88" s="3" t="s">
        <v>378</v>
      </c>
      <c r="D88" s="39" t="s">
        <v>98</v>
      </c>
      <c r="E88" s="17"/>
      <c r="F88" s="17" t="s">
        <v>98</v>
      </c>
      <c r="G88" s="73">
        <v>20</v>
      </c>
      <c r="H88" s="93">
        <v>52</v>
      </c>
      <c r="I88" s="73">
        <v>52</v>
      </c>
      <c r="J88" s="93">
        <v>52</v>
      </c>
      <c r="K88" s="115">
        <v>52</v>
      </c>
    </row>
    <row r="89" spans="1:13" x14ac:dyDescent="0.2">
      <c r="A89" s="48"/>
      <c r="B89" s="48"/>
      <c r="C89" s="3" t="s">
        <v>301</v>
      </c>
      <c r="D89" s="39" t="s">
        <v>98</v>
      </c>
      <c r="E89" s="17"/>
      <c r="F89" s="17" t="s">
        <v>98</v>
      </c>
      <c r="G89" s="73">
        <v>26</v>
      </c>
      <c r="H89" s="93">
        <v>52</v>
      </c>
      <c r="I89" s="73">
        <v>52</v>
      </c>
      <c r="J89" s="93">
        <v>52</v>
      </c>
      <c r="K89" s="115">
        <v>52</v>
      </c>
    </row>
    <row r="90" spans="1:13" x14ac:dyDescent="0.2">
      <c r="A90" s="48"/>
      <c r="B90" s="48"/>
      <c r="C90" s="3" t="s">
        <v>366</v>
      </c>
      <c r="D90" s="39" t="s">
        <v>98</v>
      </c>
      <c r="E90" s="17"/>
      <c r="F90" s="17" t="s">
        <v>98</v>
      </c>
      <c r="G90" s="73">
        <v>6</v>
      </c>
      <c r="H90" s="93">
        <v>52</v>
      </c>
      <c r="I90" s="73">
        <v>52</v>
      </c>
      <c r="J90" s="93">
        <v>52</v>
      </c>
      <c r="K90" s="115">
        <v>52</v>
      </c>
    </row>
    <row r="91" spans="1:13" x14ac:dyDescent="0.2">
      <c r="A91" s="48"/>
      <c r="B91" s="48"/>
      <c r="C91" s="3" t="s">
        <v>367</v>
      </c>
      <c r="D91" s="39" t="s">
        <v>98</v>
      </c>
      <c r="E91" s="17"/>
      <c r="F91" s="17"/>
      <c r="G91" s="73">
        <v>6</v>
      </c>
      <c r="H91" s="93">
        <v>0</v>
      </c>
      <c r="I91" s="73">
        <v>0</v>
      </c>
      <c r="J91" s="93">
        <v>0</v>
      </c>
      <c r="K91" s="115">
        <v>0</v>
      </c>
    </row>
    <row r="92" spans="1:13" x14ac:dyDescent="0.2">
      <c r="A92" s="48"/>
      <c r="B92" s="48"/>
      <c r="C92" s="3" t="s">
        <v>368</v>
      </c>
      <c r="D92" s="39" t="s">
        <v>98</v>
      </c>
      <c r="E92" s="17"/>
      <c r="F92" s="17"/>
      <c r="G92" s="73">
        <v>20</v>
      </c>
      <c r="H92" s="93">
        <v>0</v>
      </c>
      <c r="I92" s="73">
        <v>0</v>
      </c>
      <c r="J92" s="93">
        <v>0</v>
      </c>
      <c r="K92" s="115">
        <v>0</v>
      </c>
    </row>
    <row r="93" spans="1:13" x14ac:dyDescent="0.2">
      <c r="A93" s="48"/>
      <c r="B93" s="48"/>
      <c r="C93" s="3" t="s">
        <v>302</v>
      </c>
      <c r="D93" s="39" t="s">
        <v>98</v>
      </c>
      <c r="E93" s="17"/>
      <c r="F93" s="17" t="s">
        <v>98</v>
      </c>
      <c r="G93" s="73">
        <v>26</v>
      </c>
      <c r="H93" s="93">
        <v>52</v>
      </c>
      <c r="I93" s="73">
        <v>52</v>
      </c>
      <c r="J93" s="93">
        <v>52</v>
      </c>
      <c r="K93" s="115">
        <v>52</v>
      </c>
    </row>
    <row r="94" spans="1:13" x14ac:dyDescent="0.2">
      <c r="A94" s="48"/>
      <c r="B94" s="48"/>
      <c r="C94" s="11" t="s">
        <v>369</v>
      </c>
      <c r="D94" s="39" t="s">
        <v>98</v>
      </c>
      <c r="E94" s="18"/>
      <c r="F94" s="18"/>
      <c r="G94" s="145">
        <v>6</v>
      </c>
      <c r="H94" s="146">
        <v>0</v>
      </c>
      <c r="I94" s="145">
        <v>0</v>
      </c>
      <c r="J94" s="146">
        <v>0</v>
      </c>
      <c r="K94" s="147">
        <v>0</v>
      </c>
    </row>
    <row r="95" spans="1:13" x14ac:dyDescent="0.2">
      <c r="A95" s="48"/>
      <c r="B95" s="48"/>
      <c r="C95" s="11" t="s">
        <v>370</v>
      </c>
      <c r="D95" s="39" t="s">
        <v>98</v>
      </c>
      <c r="E95" s="18"/>
      <c r="F95" s="18"/>
      <c r="G95" s="145">
        <v>6</v>
      </c>
      <c r="H95" s="146">
        <v>0</v>
      </c>
      <c r="I95" s="145">
        <v>0</v>
      </c>
      <c r="J95" s="146">
        <v>0</v>
      </c>
      <c r="K95" s="147">
        <v>0</v>
      </c>
    </row>
    <row r="96" spans="1:13" ht="13.5" thickBot="1" x14ac:dyDescent="0.25">
      <c r="A96" s="48"/>
      <c r="B96" s="48"/>
      <c r="C96" s="11" t="s">
        <v>371</v>
      </c>
      <c r="D96" s="44" t="s">
        <v>98</v>
      </c>
      <c r="E96" s="18"/>
      <c r="F96" s="18" t="s">
        <v>98</v>
      </c>
      <c r="G96" s="145">
        <v>20</v>
      </c>
      <c r="H96" s="146">
        <v>52</v>
      </c>
      <c r="I96" s="145">
        <v>52</v>
      </c>
      <c r="J96" s="146">
        <v>52</v>
      </c>
      <c r="K96" s="147">
        <v>52</v>
      </c>
      <c r="M96" s="60">
        <f>SUM(G97:K97)</f>
        <v>126591.19836260623</v>
      </c>
    </row>
    <row r="97" spans="1:13" x14ac:dyDescent="0.2">
      <c r="A97" s="169" t="s">
        <v>321</v>
      </c>
      <c r="B97" s="169" t="s">
        <v>318</v>
      </c>
      <c r="C97" s="21" t="s">
        <v>372</v>
      </c>
      <c r="D97" s="42" t="s">
        <v>112</v>
      </c>
      <c r="E97" s="22"/>
      <c r="F97" s="22" t="s">
        <v>29</v>
      </c>
      <c r="G97" s="74">
        <f>G72*G47*G8</f>
        <v>24570</v>
      </c>
      <c r="H97" s="94">
        <f>H72*H47*H8</f>
        <v>24938.55</v>
      </c>
      <c r="I97" s="74">
        <f>I72*I47*I8</f>
        <v>25312.628249999998</v>
      </c>
      <c r="J97" s="94">
        <f>J72*J47*J8</f>
        <v>25692.317673749996</v>
      </c>
      <c r="K97" s="116">
        <f>K72*K47*K8</f>
        <v>26077.702438856242</v>
      </c>
      <c r="M97" s="60">
        <v>126591.19836260623</v>
      </c>
    </row>
    <row r="98" spans="1:13" x14ac:dyDescent="0.2">
      <c r="A98" s="48"/>
      <c r="B98" s="48"/>
      <c r="C98" s="13" t="s">
        <v>379</v>
      </c>
      <c r="D98" s="40" t="s">
        <v>110</v>
      </c>
      <c r="E98" s="19"/>
      <c r="F98" s="19"/>
      <c r="G98" s="82">
        <f>G73*G48*G5</f>
        <v>22210.655999999999</v>
      </c>
      <c r="H98" s="102">
        <f t="shared" ref="H98:K98" si="21">H73*H48*H5</f>
        <v>11717.16</v>
      </c>
      <c r="I98" s="82">
        <f t="shared" si="21"/>
        <v>11892.917399999998</v>
      </c>
      <c r="J98" s="102">
        <f t="shared" si="21"/>
        <v>12071.311160999998</v>
      </c>
      <c r="K98" s="121">
        <f t="shared" si="21"/>
        <v>12252.380828414996</v>
      </c>
    </row>
    <row r="99" spans="1:13" x14ac:dyDescent="0.2">
      <c r="A99" s="48"/>
      <c r="B99" s="48"/>
      <c r="C99" s="13" t="s">
        <v>380</v>
      </c>
      <c r="D99" s="40" t="s">
        <v>111</v>
      </c>
      <c r="E99" s="19"/>
      <c r="F99" s="19"/>
      <c r="G99" s="82">
        <f>G74*G49*G7</f>
        <v>10656</v>
      </c>
      <c r="H99" s="102">
        <f t="shared" ref="H99:K99" si="22">H74*H49*H7</f>
        <v>0</v>
      </c>
      <c r="I99" s="82">
        <f t="shared" si="22"/>
        <v>0</v>
      </c>
      <c r="J99" s="102">
        <f t="shared" si="22"/>
        <v>0</v>
      </c>
      <c r="K99" s="121">
        <f t="shared" si="22"/>
        <v>0</v>
      </c>
    </row>
    <row r="100" spans="1:13" x14ac:dyDescent="0.2">
      <c r="A100" s="48"/>
      <c r="B100" s="48"/>
      <c r="C100" s="3" t="s">
        <v>359</v>
      </c>
      <c r="D100" s="40" t="s">
        <v>113</v>
      </c>
      <c r="E100" s="19"/>
      <c r="F100" s="19" t="s">
        <v>29</v>
      </c>
      <c r="G100" s="75">
        <f>G75*G50*G9</f>
        <v>17760</v>
      </c>
      <c r="H100" s="95">
        <f>H75*H50*H9</f>
        <v>23434.32</v>
      </c>
      <c r="I100" s="75">
        <f>I75*I50*I9</f>
        <v>23785.834799999997</v>
      </c>
      <c r="J100" s="95">
        <f>J75*J50*J9</f>
        <v>24142.622321999996</v>
      </c>
      <c r="K100" s="117">
        <f>K75*K50*K9</f>
        <v>24504.761656829993</v>
      </c>
    </row>
    <row r="101" spans="1:13" x14ac:dyDescent="0.2">
      <c r="A101" s="48"/>
      <c r="B101" s="48"/>
      <c r="C101" s="14" t="s">
        <v>383</v>
      </c>
      <c r="D101" s="40" t="s">
        <v>49</v>
      </c>
      <c r="E101" s="19"/>
      <c r="F101" s="19" t="s">
        <v>29</v>
      </c>
      <c r="G101" s="75">
        <f>G76*G51*G12</f>
        <v>46800</v>
      </c>
      <c r="H101" s="95">
        <f>H76*H51*H12</f>
        <v>47501.999999999993</v>
      </c>
      <c r="I101" s="75">
        <f>I76*I51*I12</f>
        <v>48214.529999999984</v>
      </c>
      <c r="J101" s="95">
        <f>J76*J51*J12</f>
        <v>48937.747949999983</v>
      </c>
      <c r="K101" s="117">
        <f>K76*K51*K12</f>
        <v>49671.814169249978</v>
      </c>
    </row>
    <row r="102" spans="1:13" x14ac:dyDescent="0.2">
      <c r="A102" s="48"/>
      <c r="B102" s="48"/>
      <c r="C102" s="3" t="s">
        <v>384</v>
      </c>
      <c r="D102" s="40" t="s">
        <v>112</v>
      </c>
      <c r="E102" s="19"/>
      <c r="F102" s="19" t="s">
        <v>29</v>
      </c>
      <c r="G102" s="75">
        <f>G77*G52*G8</f>
        <v>49140</v>
      </c>
      <c r="H102" s="95">
        <f>H77*H52*H8</f>
        <v>49877.1</v>
      </c>
      <c r="I102" s="75">
        <f>I77*I52*I8</f>
        <v>50625.256499999996</v>
      </c>
      <c r="J102" s="95">
        <f>J77*J52*J8</f>
        <v>51384.635347499992</v>
      </c>
      <c r="K102" s="117">
        <f>K77*K52*K8</f>
        <v>52155.404877712484</v>
      </c>
    </row>
    <row r="103" spans="1:13" x14ac:dyDescent="0.2">
      <c r="A103" s="48"/>
      <c r="B103" s="48"/>
      <c r="C103" s="3" t="s">
        <v>387</v>
      </c>
      <c r="D103" s="40" t="s">
        <v>110</v>
      </c>
      <c r="E103" s="19"/>
      <c r="F103" s="19"/>
      <c r="G103" s="75">
        <f>G78*G53*G5</f>
        <v>10656</v>
      </c>
      <c r="H103" s="95">
        <f t="shared" ref="H103:K103" si="23">H78*H53*H5</f>
        <v>0</v>
      </c>
      <c r="I103" s="75">
        <f t="shared" si="23"/>
        <v>0</v>
      </c>
      <c r="J103" s="95">
        <f t="shared" si="23"/>
        <v>0</v>
      </c>
      <c r="K103" s="117">
        <f t="shared" si="23"/>
        <v>0</v>
      </c>
    </row>
    <row r="104" spans="1:13" x14ac:dyDescent="0.2">
      <c r="A104" s="48"/>
      <c r="B104" s="48"/>
      <c r="C104" s="3" t="s">
        <v>388</v>
      </c>
      <c r="D104" s="40" t="s">
        <v>111</v>
      </c>
      <c r="E104" s="19"/>
      <c r="F104" s="19"/>
      <c r="G104" s="75">
        <f>G79*G54*G7</f>
        <v>10656</v>
      </c>
      <c r="H104" s="95">
        <f t="shared" ref="H104:K104" si="24">H79*H54*H7</f>
        <v>0</v>
      </c>
      <c r="I104" s="75">
        <f t="shared" si="24"/>
        <v>0</v>
      </c>
      <c r="J104" s="95">
        <f t="shared" si="24"/>
        <v>0</v>
      </c>
      <c r="K104" s="117">
        <f t="shared" si="24"/>
        <v>0</v>
      </c>
    </row>
    <row r="105" spans="1:13" x14ac:dyDescent="0.2">
      <c r="A105" s="48"/>
      <c r="B105" s="48"/>
      <c r="C105" s="3" t="s">
        <v>389</v>
      </c>
      <c r="D105" s="40" t="s">
        <v>113</v>
      </c>
      <c r="E105" s="19"/>
      <c r="F105" s="19" t="s">
        <v>29</v>
      </c>
      <c r="G105" s="75">
        <f>G80*G55*G9</f>
        <v>17760</v>
      </c>
      <c r="H105" s="95">
        <f>H80*H55*H9</f>
        <v>23434.32</v>
      </c>
      <c r="I105" s="75">
        <f>I80*I55*I9</f>
        <v>23785.834799999997</v>
      </c>
      <c r="J105" s="95">
        <f>J80*J55*J9</f>
        <v>24142.622321999996</v>
      </c>
      <c r="K105" s="117">
        <f>K80*K55*K9</f>
        <v>24504.761656829993</v>
      </c>
    </row>
    <row r="106" spans="1:13" x14ac:dyDescent="0.2">
      <c r="A106" s="48"/>
      <c r="B106" s="48"/>
      <c r="C106" s="3" t="s">
        <v>413</v>
      </c>
      <c r="D106" s="40" t="s">
        <v>110</v>
      </c>
      <c r="E106" s="19"/>
      <c r="F106" s="19" t="s">
        <v>29</v>
      </c>
      <c r="G106" s="75">
        <f>G81*G56*G$6</f>
        <v>0</v>
      </c>
      <c r="H106" s="95">
        <f t="shared" ref="H106:K106" si="25">H81*H56*H$6</f>
        <v>0</v>
      </c>
      <c r="I106" s="75">
        <f t="shared" si="25"/>
        <v>0</v>
      </c>
      <c r="J106" s="95">
        <f t="shared" si="25"/>
        <v>0</v>
      </c>
      <c r="K106" s="117">
        <f t="shared" si="25"/>
        <v>0</v>
      </c>
    </row>
    <row r="107" spans="1:13" x14ac:dyDescent="0.2">
      <c r="A107" s="48"/>
      <c r="B107" s="48"/>
      <c r="C107" s="14" t="s">
        <v>374</v>
      </c>
      <c r="D107" s="40" t="s">
        <v>49</v>
      </c>
      <c r="E107" s="19"/>
      <c r="F107" s="19" t="s">
        <v>29</v>
      </c>
      <c r="G107" s="75">
        <f>G82*G57*G11</f>
        <v>57200</v>
      </c>
      <c r="H107" s="95">
        <f>H82*H57*H11</f>
        <v>58058</v>
      </c>
      <c r="I107" s="75">
        <f>I82*I57*I11</f>
        <v>58928.869999999995</v>
      </c>
      <c r="J107" s="95">
        <f>J82*J57*J11</f>
        <v>59812.803049999988</v>
      </c>
      <c r="K107" s="117">
        <f>K82*K57*K11</f>
        <v>60709.995095749982</v>
      </c>
    </row>
    <row r="108" spans="1:13" x14ac:dyDescent="0.2">
      <c r="A108" s="48"/>
      <c r="B108" s="48"/>
      <c r="C108" s="3" t="s">
        <v>375</v>
      </c>
      <c r="D108" s="40" t="s">
        <v>110</v>
      </c>
      <c r="E108" s="19"/>
      <c r="F108" s="19" t="s">
        <v>29</v>
      </c>
      <c r="G108" s="75">
        <f>G83*G58*G5</f>
        <v>23088</v>
      </c>
      <c r="H108" s="95">
        <f>H83*H58*H5</f>
        <v>23434.32</v>
      </c>
      <c r="I108" s="75">
        <f>I83*I58*I5</f>
        <v>23785.834799999997</v>
      </c>
      <c r="J108" s="95">
        <f>J83*J58*J5</f>
        <v>24142.622321999996</v>
      </c>
      <c r="K108" s="117">
        <f>K83*K58*K5</f>
        <v>24504.761656829993</v>
      </c>
    </row>
    <row r="109" spans="1:13" x14ac:dyDescent="0.2">
      <c r="A109" s="48"/>
      <c r="B109" s="48"/>
      <c r="C109" s="3" t="s">
        <v>299</v>
      </c>
      <c r="D109" s="40" t="s">
        <v>49</v>
      </c>
      <c r="E109" s="19"/>
      <c r="F109" s="19" t="s">
        <v>29</v>
      </c>
      <c r="G109" s="75">
        <f>G84*G59*G12</f>
        <v>0</v>
      </c>
      <c r="H109" s="95">
        <f>H84*H59*H12</f>
        <v>0</v>
      </c>
      <c r="I109" s="75">
        <f>I84*I59*I12</f>
        <v>0</v>
      </c>
      <c r="J109" s="95">
        <f>J84*J59*J12</f>
        <v>0</v>
      </c>
      <c r="K109" s="117">
        <f>K84*K59*K12</f>
        <v>0</v>
      </c>
    </row>
    <row r="110" spans="1:13" x14ac:dyDescent="0.2">
      <c r="A110" s="48"/>
      <c r="B110" s="48"/>
      <c r="C110" s="3" t="s">
        <v>377</v>
      </c>
      <c r="D110" s="40" t="s">
        <v>112</v>
      </c>
      <c r="E110" s="19"/>
      <c r="F110" s="19" t="s">
        <v>29</v>
      </c>
      <c r="G110" s="75">
        <f>G85*G60*G8</f>
        <v>49140</v>
      </c>
      <c r="H110" s="95">
        <f>H85*H60*H8</f>
        <v>49877.1</v>
      </c>
      <c r="I110" s="75">
        <f>I85*I60*I8</f>
        <v>50625.256499999996</v>
      </c>
      <c r="J110" s="95">
        <f>J85*J60*J8</f>
        <v>51384.635347499992</v>
      </c>
      <c r="K110" s="117">
        <f>K85*K60*K8</f>
        <v>52155.404877712484</v>
      </c>
    </row>
    <row r="111" spans="1:13" x14ac:dyDescent="0.2">
      <c r="A111" s="48"/>
      <c r="B111" s="48"/>
      <c r="C111" s="3" t="s">
        <v>381</v>
      </c>
      <c r="D111" s="40" t="s">
        <v>110</v>
      </c>
      <c r="E111" s="19"/>
      <c r="F111" s="19"/>
      <c r="G111" s="75">
        <f>G86*G61*G5</f>
        <v>16438.655999999999</v>
      </c>
      <c r="H111" s="95">
        <f t="shared" ref="H111:K111" si="26">H86*H61*H5</f>
        <v>5858.58</v>
      </c>
      <c r="I111" s="75">
        <f t="shared" si="26"/>
        <v>5946.4586999999992</v>
      </c>
      <c r="J111" s="95">
        <f t="shared" si="26"/>
        <v>6035.6555804999989</v>
      </c>
      <c r="K111" s="117">
        <f t="shared" si="26"/>
        <v>6126.1904142074982</v>
      </c>
    </row>
    <row r="112" spans="1:13" x14ac:dyDescent="0.2">
      <c r="A112" s="48"/>
      <c r="B112" s="48"/>
      <c r="C112" s="3" t="s">
        <v>382</v>
      </c>
      <c r="D112" s="40" t="s">
        <v>111</v>
      </c>
      <c r="E112" s="19"/>
      <c r="F112" s="19"/>
      <c r="G112" s="75">
        <f>G87*G62*G7</f>
        <v>10656</v>
      </c>
      <c r="H112" s="95">
        <f t="shared" ref="H112:K112" si="27">H87*H62*H7</f>
        <v>0</v>
      </c>
      <c r="I112" s="75">
        <f t="shared" si="27"/>
        <v>0</v>
      </c>
      <c r="J112" s="95">
        <f t="shared" si="27"/>
        <v>0</v>
      </c>
      <c r="K112" s="117">
        <f t="shared" si="27"/>
        <v>0</v>
      </c>
    </row>
    <row r="113" spans="1:11" x14ac:dyDescent="0.2">
      <c r="A113" s="48"/>
      <c r="B113" s="48"/>
      <c r="C113" s="3" t="s">
        <v>378</v>
      </c>
      <c r="D113" s="40" t="s">
        <v>113</v>
      </c>
      <c r="E113" s="19"/>
      <c r="F113" s="19" t="s">
        <v>29</v>
      </c>
      <c r="G113" s="75">
        <f>G88*G63*G9</f>
        <v>17760</v>
      </c>
      <c r="H113" s="95">
        <f>H88*H63*H9</f>
        <v>23434.32</v>
      </c>
      <c r="I113" s="75">
        <f>I88*I63*I9</f>
        <v>23785.834799999997</v>
      </c>
      <c r="J113" s="95">
        <f>J88*J63*J9</f>
        <v>24142.622321999996</v>
      </c>
      <c r="K113" s="117">
        <f>K88*K63*K9</f>
        <v>24504.761656829993</v>
      </c>
    </row>
    <row r="114" spans="1:11" x14ac:dyDescent="0.2">
      <c r="A114" s="48"/>
      <c r="B114" s="48"/>
      <c r="C114" s="14" t="s">
        <v>385</v>
      </c>
      <c r="D114" s="40" t="s">
        <v>49</v>
      </c>
      <c r="E114" s="19"/>
      <c r="F114" s="19" t="s">
        <v>29</v>
      </c>
      <c r="G114" s="75">
        <f>G89*G64*G12</f>
        <v>23400</v>
      </c>
      <c r="H114" s="95">
        <f>H89*H64*H12</f>
        <v>23750.999999999996</v>
      </c>
      <c r="I114" s="75">
        <f>I89*I64*I12</f>
        <v>24107.264999999992</v>
      </c>
      <c r="J114" s="95">
        <f>J89*J64*J12</f>
        <v>24468.873974999991</v>
      </c>
      <c r="K114" s="117">
        <f>K89*K64*K12</f>
        <v>24835.907084624989</v>
      </c>
    </row>
    <row r="115" spans="1:11" x14ac:dyDescent="0.2">
      <c r="A115" s="48"/>
      <c r="B115" s="48"/>
      <c r="C115" s="3" t="s">
        <v>390</v>
      </c>
      <c r="D115" s="40" t="s">
        <v>110</v>
      </c>
      <c r="E115" s="19"/>
      <c r="F115" s="19"/>
      <c r="G115" s="75">
        <f>G90*G65*G5</f>
        <v>5328</v>
      </c>
      <c r="H115" s="95">
        <f t="shared" ref="H115:K115" si="28">H90*H65*H5</f>
        <v>0</v>
      </c>
      <c r="I115" s="75">
        <f t="shared" si="28"/>
        <v>0</v>
      </c>
      <c r="J115" s="95">
        <f t="shared" si="28"/>
        <v>0</v>
      </c>
      <c r="K115" s="117">
        <f t="shared" si="28"/>
        <v>0</v>
      </c>
    </row>
    <row r="116" spans="1:11" x14ac:dyDescent="0.2">
      <c r="A116" s="48"/>
      <c r="B116" s="48"/>
      <c r="C116" s="3" t="s">
        <v>391</v>
      </c>
      <c r="D116" s="40" t="s">
        <v>111</v>
      </c>
      <c r="E116" s="19"/>
      <c r="F116" s="19"/>
      <c r="G116" s="75">
        <f>G91*G67*G7</f>
        <v>2664</v>
      </c>
      <c r="H116" s="95">
        <f t="shared" ref="H116:K116" si="29">H91*H67*H7</f>
        <v>0</v>
      </c>
      <c r="I116" s="75">
        <f t="shared" si="29"/>
        <v>0</v>
      </c>
      <c r="J116" s="95">
        <f t="shared" si="29"/>
        <v>0</v>
      </c>
      <c r="K116" s="117">
        <f t="shared" si="29"/>
        <v>0</v>
      </c>
    </row>
    <row r="117" spans="1:11" x14ac:dyDescent="0.2">
      <c r="A117" s="48"/>
      <c r="B117" s="48"/>
      <c r="C117" s="3" t="s">
        <v>392</v>
      </c>
      <c r="D117" s="40" t="s">
        <v>113</v>
      </c>
      <c r="E117" s="19"/>
      <c r="F117" s="19" t="s">
        <v>29</v>
      </c>
      <c r="G117" s="75">
        <f>G90*G67*G9</f>
        <v>2664</v>
      </c>
      <c r="H117" s="95">
        <f>H90*H67*H9</f>
        <v>11717.16</v>
      </c>
      <c r="I117" s="75">
        <f>I90*I67*I9</f>
        <v>11892.917399999998</v>
      </c>
      <c r="J117" s="95">
        <f>J90*J67*J9</f>
        <v>12071.311160999998</v>
      </c>
      <c r="K117" s="117">
        <f>K90*K67*K9</f>
        <v>12252.380828414996</v>
      </c>
    </row>
    <row r="118" spans="1:11" x14ac:dyDescent="0.2">
      <c r="A118" s="48"/>
      <c r="B118" s="48"/>
      <c r="C118" s="3" t="s">
        <v>386</v>
      </c>
      <c r="D118" s="40" t="s">
        <v>112</v>
      </c>
      <c r="E118" s="19"/>
      <c r="F118" s="19" t="s">
        <v>29</v>
      </c>
      <c r="G118" s="75">
        <f>G93*G68*G8</f>
        <v>12285</v>
      </c>
      <c r="H118" s="95">
        <f>H93*H68*H8</f>
        <v>12469.275</v>
      </c>
      <c r="I118" s="75">
        <f>I93*I68*I8</f>
        <v>12656.314124999999</v>
      </c>
      <c r="J118" s="95">
        <f>J93*J68*J8</f>
        <v>12846.158836874998</v>
      </c>
      <c r="K118" s="117">
        <f>K93*K68*K8</f>
        <v>13038.851219428121</v>
      </c>
    </row>
    <row r="119" spans="1:11" x14ac:dyDescent="0.2">
      <c r="A119" s="48"/>
      <c r="B119" s="48"/>
      <c r="C119" s="3" t="s">
        <v>393</v>
      </c>
      <c r="D119" s="40" t="s">
        <v>110</v>
      </c>
      <c r="E119" s="19"/>
      <c r="F119" s="19"/>
      <c r="G119" s="75">
        <f>G94*G69*G5</f>
        <v>5328</v>
      </c>
      <c r="H119" s="95">
        <f t="shared" ref="H119:K119" si="30">H94*H69*H5</f>
        <v>0</v>
      </c>
      <c r="I119" s="75">
        <f t="shared" si="30"/>
        <v>0</v>
      </c>
      <c r="J119" s="95">
        <f t="shared" si="30"/>
        <v>0</v>
      </c>
      <c r="K119" s="117">
        <f t="shared" si="30"/>
        <v>0</v>
      </c>
    </row>
    <row r="120" spans="1:11" x14ac:dyDescent="0.2">
      <c r="A120" s="48"/>
      <c r="B120" s="48"/>
      <c r="C120" s="3" t="s">
        <v>394</v>
      </c>
      <c r="D120" s="40" t="s">
        <v>111</v>
      </c>
      <c r="E120" s="19"/>
      <c r="F120" s="19"/>
      <c r="G120" s="75">
        <f>G95*G70*G7</f>
        <v>5328</v>
      </c>
      <c r="H120" s="95">
        <f t="shared" ref="H120:K120" si="31">H95*H70*H7</f>
        <v>0</v>
      </c>
      <c r="I120" s="75">
        <f t="shared" si="31"/>
        <v>0</v>
      </c>
      <c r="J120" s="95">
        <f t="shared" si="31"/>
        <v>0</v>
      </c>
      <c r="K120" s="117">
        <f t="shared" si="31"/>
        <v>0</v>
      </c>
    </row>
    <row r="121" spans="1:11" x14ac:dyDescent="0.2">
      <c r="A121" s="48"/>
      <c r="B121" s="48"/>
      <c r="C121" s="3" t="s">
        <v>395</v>
      </c>
      <c r="D121" s="40" t="s">
        <v>113</v>
      </c>
      <c r="E121" s="19"/>
      <c r="F121" s="19" t="s">
        <v>29</v>
      </c>
      <c r="G121" s="75">
        <f>G96*G71*G9</f>
        <v>8880</v>
      </c>
      <c r="H121" s="95">
        <f>H96*H71*H9</f>
        <v>11717.16</v>
      </c>
      <c r="I121" s="75">
        <f>I96*I71*I9</f>
        <v>11892.917399999998</v>
      </c>
      <c r="J121" s="95">
        <f>J96*J71*J9</f>
        <v>12071.311160999998</v>
      </c>
      <c r="K121" s="117">
        <f>K96*K71*K9</f>
        <v>12252.380828414996</v>
      </c>
    </row>
    <row r="122" spans="1:11" x14ac:dyDescent="0.2">
      <c r="A122" s="48"/>
      <c r="B122" s="168"/>
      <c r="C122" s="3" t="s">
        <v>149</v>
      </c>
      <c r="D122" s="44" t="s">
        <v>98</v>
      </c>
      <c r="E122" s="18"/>
      <c r="F122" s="17" t="s">
        <v>98</v>
      </c>
      <c r="G122" s="75">
        <f>SUM(G97:G101)</f>
        <v>121996.656</v>
      </c>
      <c r="H122" s="95">
        <f t="shared" ref="H122:K122" si="32">SUM(H97:H101)</f>
        <v>107592.03</v>
      </c>
      <c r="I122" s="75">
        <f t="shared" si="32"/>
        <v>109205.91044999998</v>
      </c>
      <c r="J122" s="95">
        <f t="shared" si="32"/>
        <v>110843.99910674998</v>
      </c>
      <c r="K122" s="117">
        <f t="shared" si="32"/>
        <v>112506.65909335122</v>
      </c>
    </row>
    <row r="123" spans="1:11" x14ac:dyDescent="0.2">
      <c r="A123" s="48"/>
      <c r="B123" s="168"/>
      <c r="C123" s="3" t="s">
        <v>233</v>
      </c>
      <c r="D123" s="44" t="s">
        <v>98</v>
      </c>
      <c r="E123" s="18"/>
      <c r="F123" s="17" t="s">
        <v>98</v>
      </c>
      <c r="G123" s="75">
        <f>SUM(G102:G107)</f>
        <v>145412</v>
      </c>
      <c r="H123" s="95">
        <f t="shared" ref="H123:K123" si="33">SUM(H102:H107)</f>
        <v>131369.41999999998</v>
      </c>
      <c r="I123" s="75">
        <f t="shared" si="33"/>
        <v>133339.9613</v>
      </c>
      <c r="J123" s="95">
        <f t="shared" si="33"/>
        <v>135340.06071949998</v>
      </c>
      <c r="K123" s="117">
        <f t="shared" si="33"/>
        <v>137370.16163029248</v>
      </c>
    </row>
    <row r="124" spans="1:11" x14ac:dyDescent="0.2">
      <c r="A124" s="48"/>
      <c r="B124" s="168"/>
      <c r="C124" s="3" t="s">
        <v>234</v>
      </c>
      <c r="D124" s="44" t="s">
        <v>98</v>
      </c>
      <c r="E124" s="18"/>
      <c r="F124" s="17" t="s">
        <v>98</v>
      </c>
      <c r="G124" s="75">
        <f>SUM(G108:G109)</f>
        <v>23088</v>
      </c>
      <c r="H124" s="95">
        <f t="shared" ref="H124:K124" si="34">SUM(H108:H109)</f>
        <v>23434.32</v>
      </c>
      <c r="I124" s="75">
        <f t="shared" si="34"/>
        <v>23785.834799999997</v>
      </c>
      <c r="J124" s="95">
        <f t="shared" si="34"/>
        <v>24142.622321999996</v>
      </c>
      <c r="K124" s="117">
        <f t="shared" si="34"/>
        <v>24504.761656829993</v>
      </c>
    </row>
    <row r="125" spans="1:11" x14ac:dyDescent="0.2">
      <c r="A125" s="48"/>
      <c r="B125" s="168"/>
      <c r="C125" s="3" t="s">
        <v>235</v>
      </c>
      <c r="D125" s="44" t="s">
        <v>98</v>
      </c>
      <c r="E125" s="18"/>
      <c r="F125" s="17" t="s">
        <v>98</v>
      </c>
      <c r="G125" s="75">
        <f>SUM(G110:G114)</f>
        <v>117394.656</v>
      </c>
      <c r="H125" s="95">
        <f t="shared" ref="H125:K125" si="35">SUM(H110:H114)</f>
        <v>102921</v>
      </c>
      <c r="I125" s="75">
        <f t="shared" si="35"/>
        <v>104464.81499999997</v>
      </c>
      <c r="J125" s="95">
        <f t="shared" si="35"/>
        <v>106031.78722499998</v>
      </c>
      <c r="K125" s="117">
        <f t="shared" si="35"/>
        <v>107622.26403337496</v>
      </c>
    </row>
    <row r="126" spans="1:11" x14ac:dyDescent="0.2">
      <c r="A126" s="48"/>
      <c r="B126" s="168"/>
      <c r="C126" s="3" t="s">
        <v>236</v>
      </c>
      <c r="D126" s="44" t="s">
        <v>98</v>
      </c>
      <c r="E126" s="18"/>
      <c r="F126" s="17" t="s">
        <v>98</v>
      </c>
      <c r="G126" s="75">
        <f>SUM(G115:G118)</f>
        <v>22941</v>
      </c>
      <c r="H126" s="95">
        <f t="shared" ref="H126:K126" si="36">SUM(H115:H118)</f>
        <v>24186.434999999998</v>
      </c>
      <c r="I126" s="75">
        <f t="shared" si="36"/>
        <v>24549.231524999996</v>
      </c>
      <c r="J126" s="95">
        <f t="shared" si="36"/>
        <v>24917.469997874996</v>
      </c>
      <c r="K126" s="117">
        <f t="shared" si="36"/>
        <v>25291.232047843117</v>
      </c>
    </row>
    <row r="127" spans="1:11" x14ac:dyDescent="0.2">
      <c r="A127" s="48"/>
      <c r="B127" s="168"/>
      <c r="C127" s="3" t="s">
        <v>77</v>
      </c>
      <c r="D127" s="44" t="s">
        <v>98</v>
      </c>
      <c r="E127" s="18"/>
      <c r="F127" s="18" t="s">
        <v>98</v>
      </c>
      <c r="G127" s="75">
        <f>SUM(G119:G121)</f>
        <v>19536</v>
      </c>
      <c r="H127" s="95">
        <f t="shared" ref="H127:K127" si="37">SUM(H119:H121)</f>
        <v>11717.16</v>
      </c>
      <c r="I127" s="75">
        <f t="shared" si="37"/>
        <v>11892.917399999998</v>
      </c>
      <c r="J127" s="95">
        <f t="shared" si="37"/>
        <v>12071.311160999998</v>
      </c>
      <c r="K127" s="117">
        <f t="shared" si="37"/>
        <v>12252.380828414996</v>
      </c>
    </row>
    <row r="128" spans="1:11" s="50" customFormat="1" ht="13.5" thickBot="1" x14ac:dyDescent="0.25">
      <c r="A128" s="150"/>
      <c r="B128" s="49"/>
      <c r="C128" s="158" t="s">
        <v>48</v>
      </c>
      <c r="D128" s="53" t="s">
        <v>98</v>
      </c>
      <c r="E128" s="54"/>
      <c r="F128" s="54" t="s">
        <v>98</v>
      </c>
      <c r="G128" s="55">
        <f>SUM(G122:G127)</f>
        <v>450368.31200000003</v>
      </c>
      <c r="H128" s="55">
        <f t="shared" ref="H128" si="38">SUM(H122:H127)</f>
        <v>401220.36499999993</v>
      </c>
      <c r="I128" s="55">
        <f t="shared" ref="I128" si="39">SUM(I122:I127)</f>
        <v>407238.67047499993</v>
      </c>
      <c r="J128" s="55">
        <f t="shared" ref="J128" si="40">SUM(J122:J127)</f>
        <v>413347.25053212489</v>
      </c>
      <c r="K128" s="56">
        <f t="shared" ref="K128" si="41">SUM(K122:K127)</f>
        <v>419547.45929010672</v>
      </c>
    </row>
    <row r="129" spans="1:17" x14ac:dyDescent="0.2">
      <c r="B129" s="169" t="s">
        <v>322</v>
      </c>
      <c r="C129" s="21" t="s">
        <v>42</v>
      </c>
      <c r="D129" s="38" t="s">
        <v>304</v>
      </c>
      <c r="E129" s="22"/>
      <c r="F129" s="22" t="s">
        <v>29</v>
      </c>
      <c r="G129" s="77">
        <v>0</v>
      </c>
      <c r="H129" s="97">
        <v>0</v>
      </c>
      <c r="I129" s="77">
        <v>0</v>
      </c>
      <c r="J129" s="97">
        <v>0</v>
      </c>
      <c r="K129" s="124">
        <v>0</v>
      </c>
    </row>
    <row r="130" spans="1:17" x14ac:dyDescent="0.2">
      <c r="B130" s="48"/>
      <c r="C130" s="3" t="s">
        <v>44</v>
      </c>
      <c r="D130" s="39" t="s">
        <v>303</v>
      </c>
      <c r="E130" s="17"/>
      <c r="F130" s="17" t="s">
        <v>29</v>
      </c>
      <c r="G130" s="78">
        <f>(G41*(G17+G18))+(G42*G16)+(G43*(G17+G18))+(G44*G16)+(G45*G17)+(G46*G16)</f>
        <v>31311</v>
      </c>
      <c r="H130" s="98">
        <f>(H41*(H17+H18))+(H42*H16)+(H43*(H17+H18))+(H44*H16)+(H45*H17)+(H46*H16)</f>
        <v>12754.489999999998</v>
      </c>
      <c r="I130" s="78">
        <f>(I41*(I17+I18))+(I42*I16)+(I43*(I17+I18))+(I44*I16)+(I45*I17)+(I46*I16)</f>
        <v>12945.807349999997</v>
      </c>
      <c r="J130" s="98">
        <f>(J41*(J17+J18))+(J42*J16)+(J43*(J17+J18))+(J44*J16)+(J45*J17)+(J46*J16)</f>
        <v>13139.994460249996</v>
      </c>
      <c r="K130" s="118">
        <f>(K41*(K17+K18))+(K42*K16)+(K43*(K17+K18))+(K44*K16)+(K45*K17)+(K46*K16)</f>
        <v>13337.094377153744</v>
      </c>
    </row>
    <row r="131" spans="1:17" x14ac:dyDescent="0.2">
      <c r="B131" s="48"/>
      <c r="C131" s="14" t="s">
        <v>45</v>
      </c>
      <c r="D131" s="149" t="s">
        <v>304</v>
      </c>
      <c r="E131" s="25"/>
      <c r="F131" s="25" t="s">
        <v>29</v>
      </c>
      <c r="G131" s="78">
        <v>0</v>
      </c>
      <c r="H131" s="98">
        <v>0</v>
      </c>
      <c r="I131" s="78">
        <v>0</v>
      </c>
      <c r="J131" s="98">
        <v>0</v>
      </c>
      <c r="K131" s="118">
        <v>0</v>
      </c>
    </row>
    <row r="132" spans="1:17" x14ac:dyDescent="0.2">
      <c r="B132" s="48"/>
      <c r="C132" s="14" t="s">
        <v>46</v>
      </c>
      <c r="D132" s="149" t="s">
        <v>304</v>
      </c>
      <c r="E132" s="25"/>
      <c r="F132" s="25" t="s">
        <v>29</v>
      </c>
      <c r="G132" s="78">
        <v>0</v>
      </c>
      <c r="H132" s="98">
        <v>0</v>
      </c>
      <c r="I132" s="78">
        <v>0</v>
      </c>
      <c r="J132" s="98">
        <v>0</v>
      </c>
      <c r="K132" s="118">
        <v>0</v>
      </c>
    </row>
    <row r="133" spans="1:17" x14ac:dyDescent="0.2">
      <c r="B133" s="48"/>
      <c r="C133" s="151" t="s">
        <v>47</v>
      </c>
      <c r="D133" s="148" t="s">
        <v>304</v>
      </c>
      <c r="E133" s="152"/>
      <c r="F133" s="25" t="s">
        <v>29</v>
      </c>
      <c r="G133" s="79">
        <v>0</v>
      </c>
      <c r="H133" s="100">
        <v>0</v>
      </c>
      <c r="I133" s="79">
        <v>0</v>
      </c>
      <c r="J133" s="100">
        <v>0</v>
      </c>
      <c r="K133" s="119">
        <v>0</v>
      </c>
    </row>
    <row r="134" spans="1:17" s="50" customFormat="1" ht="13.5" thickBot="1" x14ac:dyDescent="0.25">
      <c r="B134" s="51"/>
      <c r="C134" s="52" t="s">
        <v>48</v>
      </c>
      <c r="D134" s="57" t="s">
        <v>98</v>
      </c>
      <c r="E134" s="54"/>
      <c r="F134" s="54" t="s">
        <v>98</v>
      </c>
      <c r="G134" s="61">
        <f>SUM(G129:G133)</f>
        <v>31311</v>
      </c>
      <c r="H134" s="61">
        <f>SUM(H129:H133)</f>
        <v>12754.489999999998</v>
      </c>
      <c r="I134" s="61">
        <f>SUM(I129:I133)</f>
        <v>12945.807349999997</v>
      </c>
      <c r="J134" s="61">
        <f>SUM(J129:J133)</f>
        <v>13139.994460249996</v>
      </c>
      <c r="K134" s="62">
        <f>SUM(K129:K133)</f>
        <v>13337.094377153744</v>
      </c>
    </row>
    <row r="135" spans="1:17" x14ac:dyDescent="0.2">
      <c r="B135" s="169" t="s">
        <v>323</v>
      </c>
      <c r="C135" s="35" t="s">
        <v>50</v>
      </c>
      <c r="D135" s="42" t="s">
        <v>96</v>
      </c>
      <c r="E135" s="22"/>
      <c r="F135" s="22" t="s">
        <v>29</v>
      </c>
      <c r="G135" s="80">
        <v>0</v>
      </c>
      <c r="H135" s="99">
        <v>0</v>
      </c>
      <c r="I135" s="80">
        <v>0</v>
      </c>
      <c r="J135" s="99">
        <v>0</v>
      </c>
      <c r="K135" s="125">
        <v>0</v>
      </c>
    </row>
    <row r="136" spans="1:17" x14ac:dyDescent="0.2">
      <c r="B136" s="48"/>
      <c r="C136" s="14" t="s">
        <v>76</v>
      </c>
      <c r="D136" s="39" t="s">
        <v>96</v>
      </c>
      <c r="E136" s="17"/>
      <c r="F136" s="17" t="s">
        <v>29</v>
      </c>
      <c r="G136" s="78">
        <v>0</v>
      </c>
      <c r="H136" s="98">
        <v>0</v>
      </c>
      <c r="I136" s="78">
        <v>0</v>
      </c>
      <c r="J136" s="98">
        <v>0</v>
      </c>
      <c r="K136" s="118">
        <v>0</v>
      </c>
    </row>
    <row r="137" spans="1:17" x14ac:dyDescent="0.2">
      <c r="B137" s="48"/>
      <c r="C137" s="14" t="s">
        <v>51</v>
      </c>
      <c r="D137" s="39" t="s">
        <v>96</v>
      </c>
      <c r="E137" s="17"/>
      <c r="F137" s="17" t="s">
        <v>29</v>
      </c>
      <c r="G137" s="78">
        <v>0</v>
      </c>
      <c r="H137" s="98">
        <v>0</v>
      </c>
      <c r="I137" s="78">
        <v>0</v>
      </c>
      <c r="J137" s="98">
        <v>0</v>
      </c>
      <c r="K137" s="118">
        <v>0</v>
      </c>
    </row>
    <row r="138" spans="1:17" x14ac:dyDescent="0.2">
      <c r="B138" s="48"/>
      <c r="C138" s="14" t="s">
        <v>52</v>
      </c>
      <c r="D138" s="39" t="s">
        <v>96</v>
      </c>
      <c r="E138" s="17"/>
      <c r="F138" s="17" t="s">
        <v>29</v>
      </c>
      <c r="G138" s="78">
        <v>0</v>
      </c>
      <c r="H138" s="98">
        <v>0</v>
      </c>
      <c r="I138" s="78">
        <v>0</v>
      </c>
      <c r="J138" s="98">
        <v>0</v>
      </c>
      <c r="K138" s="118">
        <v>0</v>
      </c>
    </row>
    <row r="139" spans="1:17" s="50" customFormat="1" ht="13.5" thickBot="1" x14ac:dyDescent="0.25">
      <c r="B139" s="51"/>
      <c r="C139" s="52" t="s">
        <v>48</v>
      </c>
      <c r="D139" s="53" t="s">
        <v>98</v>
      </c>
      <c r="E139" s="54"/>
      <c r="F139" s="54" t="s">
        <v>98</v>
      </c>
      <c r="G139" s="61">
        <f>SUM(G135:G138)</f>
        <v>0</v>
      </c>
      <c r="H139" s="61">
        <f>SUM(H135:H138)</f>
        <v>0</v>
      </c>
      <c r="I139" s="61">
        <f>SUM(I135:I138)</f>
        <v>0</v>
      </c>
      <c r="J139" s="61">
        <f>SUM(J135:J138)</f>
        <v>0</v>
      </c>
      <c r="K139" s="62">
        <f>SUM(K135:K138)</f>
        <v>0</v>
      </c>
    </row>
    <row r="141" spans="1:17" ht="13.5" thickBot="1" x14ac:dyDescent="0.25"/>
    <row r="142" spans="1:17" s="50" customFormat="1" x14ac:dyDescent="0.2">
      <c r="C142" s="126" t="s">
        <v>120</v>
      </c>
      <c r="D142" s="127"/>
      <c r="E142" s="128"/>
      <c r="F142" s="129"/>
      <c r="G142" s="134">
        <f>SUM(G128+G134+G139)</f>
        <v>481679.31200000003</v>
      </c>
      <c r="H142" s="134">
        <f>SUM(H128+H134+H139)</f>
        <v>413974.85499999992</v>
      </c>
      <c r="I142" s="134">
        <f>SUM(I128+I134+I139)</f>
        <v>420184.47782499995</v>
      </c>
      <c r="J142" s="134">
        <f>SUM(J128+J134+J139)</f>
        <v>426487.24499237491</v>
      </c>
      <c r="K142" s="135">
        <f>SUM(K128+K134+K139)</f>
        <v>432884.55366726045</v>
      </c>
      <c r="M142" s="1"/>
      <c r="N142" s="1"/>
      <c r="O142" s="1"/>
      <c r="P142" s="1"/>
      <c r="Q142" s="1"/>
    </row>
    <row r="143" spans="1:17" ht="13.5" thickBot="1" x14ac:dyDescent="0.25">
      <c r="A143" s="1"/>
      <c r="B143" s="1"/>
      <c r="C143" s="130" t="s">
        <v>121</v>
      </c>
      <c r="D143" s="131"/>
      <c r="E143" s="132"/>
      <c r="F143" s="133"/>
      <c r="G143" s="136">
        <f>G142</f>
        <v>481679.31200000003</v>
      </c>
      <c r="H143" s="136">
        <f>G143+H142</f>
        <v>895654.1669999999</v>
      </c>
      <c r="I143" s="136">
        <f>H143+I142</f>
        <v>1315838.6448249999</v>
      </c>
      <c r="J143" s="136">
        <f>I143+J142</f>
        <v>1742325.8898173748</v>
      </c>
      <c r="K143" s="137">
        <f>J143+K142</f>
        <v>2175210.4434846351</v>
      </c>
    </row>
    <row r="144" spans="1:17" x14ac:dyDescent="0.2">
      <c r="A144" s="1"/>
      <c r="B144" s="1"/>
      <c r="C144" s="32" t="s">
        <v>110</v>
      </c>
      <c r="D144" s="40"/>
      <c r="E144" s="19"/>
      <c r="F144" s="19"/>
      <c r="G144" s="82">
        <f t="shared" ref="G144:K150" si="42">SUMIF($D$3:$D$139,$C144,G$3:G$139)</f>
        <v>83049.312000000005</v>
      </c>
      <c r="H144" s="102">
        <f t="shared" si="42"/>
        <v>41010.06</v>
      </c>
      <c r="I144" s="82">
        <f t="shared" si="42"/>
        <v>41625.210899999991</v>
      </c>
      <c r="J144" s="102">
        <f t="shared" si="42"/>
        <v>42249.589063499996</v>
      </c>
      <c r="K144" s="121">
        <f t="shared" si="42"/>
        <v>42883.332899452485</v>
      </c>
    </row>
    <row r="145" spans="1:11" x14ac:dyDescent="0.2">
      <c r="A145" s="1"/>
      <c r="B145" s="1"/>
      <c r="C145" s="59" t="s">
        <v>111</v>
      </c>
      <c r="D145" s="39"/>
      <c r="E145" s="17"/>
      <c r="F145" s="17"/>
      <c r="G145" s="82">
        <f t="shared" si="42"/>
        <v>39960</v>
      </c>
      <c r="H145" s="102">
        <f t="shared" si="42"/>
        <v>0</v>
      </c>
      <c r="I145" s="82">
        <f t="shared" si="42"/>
        <v>0</v>
      </c>
      <c r="J145" s="102">
        <f t="shared" si="42"/>
        <v>0</v>
      </c>
      <c r="K145" s="121">
        <f t="shared" si="42"/>
        <v>0</v>
      </c>
    </row>
    <row r="146" spans="1:11" x14ac:dyDescent="0.2">
      <c r="A146" s="1"/>
      <c r="B146" s="1"/>
      <c r="C146" s="59" t="s">
        <v>112</v>
      </c>
      <c r="D146" s="39"/>
      <c r="E146" s="17"/>
      <c r="F146" s="17"/>
      <c r="G146" s="82">
        <f t="shared" si="42"/>
        <v>135135</v>
      </c>
      <c r="H146" s="102">
        <f t="shared" si="42"/>
        <v>137162.02499999999</v>
      </c>
      <c r="I146" s="82">
        <f t="shared" si="42"/>
        <v>139219.45537499999</v>
      </c>
      <c r="J146" s="102">
        <f t="shared" si="42"/>
        <v>141307.747205625</v>
      </c>
      <c r="K146" s="121">
        <f t="shared" si="42"/>
        <v>143427.36341370933</v>
      </c>
    </row>
    <row r="147" spans="1:11" x14ac:dyDescent="0.2">
      <c r="A147" s="1"/>
      <c r="B147" s="1"/>
      <c r="C147" s="59" t="s">
        <v>113</v>
      </c>
      <c r="D147" s="39"/>
      <c r="E147" s="17"/>
      <c r="F147" s="17"/>
      <c r="G147" s="82">
        <f t="shared" si="42"/>
        <v>64824</v>
      </c>
      <c r="H147" s="102">
        <f t="shared" si="42"/>
        <v>93737.279999999999</v>
      </c>
      <c r="I147" s="82">
        <f t="shared" si="42"/>
        <v>95143.339199999988</v>
      </c>
      <c r="J147" s="102">
        <f t="shared" si="42"/>
        <v>96570.489287999982</v>
      </c>
      <c r="K147" s="121">
        <f t="shared" si="42"/>
        <v>98019.046627319971</v>
      </c>
    </row>
    <row r="148" spans="1:11" x14ac:dyDescent="0.2">
      <c r="A148" s="1"/>
      <c r="B148" s="1"/>
      <c r="C148" s="59" t="s">
        <v>49</v>
      </c>
      <c r="D148" s="39"/>
      <c r="E148" s="17"/>
      <c r="F148" s="17"/>
      <c r="G148" s="82">
        <f t="shared" si="42"/>
        <v>127400</v>
      </c>
      <c r="H148" s="102">
        <f t="shared" si="42"/>
        <v>129311</v>
      </c>
      <c r="I148" s="82">
        <f t="shared" si="42"/>
        <v>131250.66499999998</v>
      </c>
      <c r="J148" s="102">
        <f t="shared" si="42"/>
        <v>133219.42497499997</v>
      </c>
      <c r="K148" s="121">
        <f t="shared" si="42"/>
        <v>135217.71634962494</v>
      </c>
    </row>
    <row r="149" spans="1:11" x14ac:dyDescent="0.2">
      <c r="A149" s="1"/>
      <c r="B149" s="1"/>
      <c r="C149" s="59" t="s">
        <v>303</v>
      </c>
      <c r="D149" s="39"/>
      <c r="E149" s="17"/>
      <c r="F149" s="17"/>
      <c r="G149" s="82">
        <f t="shared" si="42"/>
        <v>31311</v>
      </c>
      <c r="H149" s="102">
        <f t="shared" si="42"/>
        <v>12754.489999999998</v>
      </c>
      <c r="I149" s="82">
        <f t="shared" si="42"/>
        <v>12945.807349999997</v>
      </c>
      <c r="J149" s="102">
        <f t="shared" si="42"/>
        <v>13139.994460249996</v>
      </c>
      <c r="K149" s="121">
        <f t="shared" si="42"/>
        <v>13337.094377153744</v>
      </c>
    </row>
    <row r="150" spans="1:11" x14ac:dyDescent="0.2">
      <c r="A150" s="1"/>
      <c r="B150" s="1"/>
      <c r="C150" s="59" t="s">
        <v>304</v>
      </c>
      <c r="D150" s="39"/>
      <c r="E150" s="17"/>
      <c r="F150" s="17"/>
      <c r="G150" s="82">
        <f t="shared" si="42"/>
        <v>0</v>
      </c>
      <c r="H150" s="102">
        <f t="shared" si="42"/>
        <v>0</v>
      </c>
      <c r="I150" s="82">
        <f t="shared" si="42"/>
        <v>0</v>
      </c>
      <c r="J150" s="102">
        <f t="shared" si="42"/>
        <v>0</v>
      </c>
      <c r="K150" s="121">
        <f t="shared" si="42"/>
        <v>0</v>
      </c>
    </row>
    <row r="151" spans="1:11" s="50" customFormat="1" x14ac:dyDescent="0.2">
      <c r="C151" s="159" t="s">
        <v>53</v>
      </c>
      <c r="D151" s="160"/>
      <c r="E151" s="161"/>
      <c r="F151" s="161"/>
      <c r="G151" s="162">
        <f>SUM(G144:G150)</f>
        <v>481679.31200000003</v>
      </c>
      <c r="H151" s="163">
        <f t="shared" ref="H151:K151" si="43">SUM(H144:H150)</f>
        <v>413974.85499999998</v>
      </c>
      <c r="I151" s="162">
        <f t="shared" si="43"/>
        <v>420184.47782499995</v>
      </c>
      <c r="J151" s="163">
        <f t="shared" si="43"/>
        <v>426487.24499237497</v>
      </c>
      <c r="K151" s="164">
        <f t="shared" si="43"/>
        <v>432884.55366726039</v>
      </c>
    </row>
    <row r="152" spans="1:11" ht="13.5" thickBot="1" x14ac:dyDescent="0.25">
      <c r="A152" s="1"/>
      <c r="B152" s="1"/>
      <c r="C152" s="33" t="s">
        <v>96</v>
      </c>
      <c r="D152" s="41"/>
      <c r="E152" s="31"/>
      <c r="F152" s="31"/>
      <c r="G152" s="81">
        <f>SUMIF($D$3:$D$139,$C152,G$3:G$139)</f>
        <v>0</v>
      </c>
      <c r="H152" s="101">
        <f>SUMIF($D$3:$D$139,$C152,H$3:H$139)</f>
        <v>0</v>
      </c>
      <c r="I152" s="81">
        <f>SUMIF($D$3:$D$139,$C152,I$3:I$139)</f>
        <v>0</v>
      </c>
      <c r="J152" s="101">
        <f>SUMIF($D$3:$D$139,$C152,J$3:J$139)</f>
        <v>0</v>
      </c>
      <c r="K152" s="120">
        <f>SUMIF($D$3:$D$139,$C152,K$3:K$139)</f>
        <v>0</v>
      </c>
    </row>
    <row r="153" spans="1:11" x14ac:dyDescent="0.2">
      <c r="A153" s="1"/>
      <c r="B153" s="1"/>
    </row>
    <row r="154" spans="1:11" ht="13.5" thickBot="1" x14ac:dyDescent="0.25">
      <c r="A154" s="1"/>
      <c r="B154" s="1"/>
    </row>
    <row r="155" spans="1:11" x14ac:dyDescent="0.2">
      <c r="A155" s="1"/>
      <c r="B155" s="1"/>
      <c r="C155" s="58" t="s">
        <v>114</v>
      </c>
      <c r="D155" s="42"/>
      <c r="E155" s="22"/>
      <c r="F155" s="22"/>
      <c r="G155" s="63"/>
      <c r="H155" s="63"/>
      <c r="I155" s="63"/>
      <c r="J155" s="63"/>
      <c r="K155" s="64"/>
    </row>
    <row r="156" spans="1:11" x14ac:dyDescent="0.2">
      <c r="A156" s="1"/>
      <c r="B156" s="1"/>
      <c r="C156" s="59" t="s">
        <v>54</v>
      </c>
      <c r="D156" s="39"/>
      <c r="E156" s="17"/>
      <c r="F156" s="17"/>
      <c r="G156" s="83">
        <f>G$142/((1+0.03)^G$2)</f>
        <v>467649.81747572817</v>
      </c>
      <c r="H156" s="103">
        <f>H$142/((1+0.03)^H$2)</f>
        <v>390211.00480723911</v>
      </c>
      <c r="I156" s="83">
        <f>I$142/((1+0.03)^I$2)</f>
        <v>384528.32027121133</v>
      </c>
      <c r="J156" s="103">
        <f>J$142/((1+0.03)^J$2)</f>
        <v>378928.39327697037</v>
      </c>
      <c r="K156" s="122">
        <f>K$142/((1+0.03)^K$2)</f>
        <v>373410.018617597</v>
      </c>
    </row>
    <row r="157" spans="1:11" x14ac:dyDescent="0.2">
      <c r="A157" s="1"/>
      <c r="B157" s="1"/>
      <c r="C157" s="59" t="s">
        <v>55</v>
      </c>
      <c r="D157" s="39"/>
      <c r="E157" s="17"/>
      <c r="F157" s="17"/>
      <c r="G157" s="83">
        <f>G$142/((1+0.05)^G$2)</f>
        <v>458742.2019047619</v>
      </c>
      <c r="H157" s="103">
        <f>H$142/((1+0.05)^H$2)</f>
        <v>375487.39682539675</v>
      </c>
      <c r="I157" s="83">
        <f>I$142/((1+0.05)^I$2)</f>
        <v>362971.15026455018</v>
      </c>
      <c r="J157" s="103">
        <f>J$142/((1+0.05)^J$2)</f>
        <v>350872.1119223985</v>
      </c>
      <c r="K157" s="122">
        <f>K$142/((1+0.05)^K$2)</f>
        <v>339176.37485831848</v>
      </c>
    </row>
    <row r="158" spans="1:11" x14ac:dyDescent="0.2">
      <c r="A158" s="1"/>
      <c r="B158" s="1"/>
      <c r="C158" s="59" t="s">
        <v>56</v>
      </c>
      <c r="D158" s="39"/>
      <c r="E158" s="17"/>
      <c r="F158" s="17"/>
      <c r="G158" s="83">
        <f>G$142/((1+0.08)^G$2)</f>
        <v>445999.36296296294</v>
      </c>
      <c r="H158" s="103">
        <f>H$142/((1+0.08)^H$2)</f>
        <v>354916.71382030169</v>
      </c>
      <c r="I158" s="83">
        <f>I$142/((1+0.08)^I$2)</f>
        <v>333555.98567370948</v>
      </c>
      <c r="J158" s="103">
        <f>J$142/((1+0.08)^J$2)</f>
        <v>313480.85690631025</v>
      </c>
      <c r="K158" s="122">
        <f>K$142/((1+0.08)^K$2)</f>
        <v>294613.95348139334</v>
      </c>
    </row>
    <row r="159" spans="1:11" x14ac:dyDescent="0.2">
      <c r="A159" s="1"/>
      <c r="B159" s="1"/>
      <c r="C159" s="59" t="s">
        <v>57</v>
      </c>
      <c r="D159" s="39"/>
      <c r="E159" s="17"/>
      <c r="F159" s="17"/>
      <c r="G159" s="83">
        <f>G$142/((1+0.1)^G$2)</f>
        <v>437890.28363636363</v>
      </c>
      <c r="H159" s="103">
        <f>H$142/((1+0.1)^H$2)</f>
        <v>342127.97933884285</v>
      </c>
      <c r="I159" s="83">
        <f>I$142/((1+0.1)^I$2)</f>
        <v>315690.81729902315</v>
      </c>
      <c r="J159" s="103">
        <f>J$142/((1+0.1)^J$2)</f>
        <v>291296.52687137137</v>
      </c>
      <c r="K159" s="122">
        <f>K$142/((1+0.1)^K$2)</f>
        <v>268787.24979494716</v>
      </c>
    </row>
    <row r="160" spans="1:11" ht="13.5" thickBot="1" x14ac:dyDescent="0.25">
      <c r="A160" s="1"/>
      <c r="B160" s="1"/>
      <c r="C160" s="33" t="s">
        <v>58</v>
      </c>
      <c r="D160" s="41"/>
      <c r="E160" s="31"/>
      <c r="F160" s="31"/>
      <c r="G160" s="84">
        <f>G$142/((1+0.12)^G$2)</f>
        <v>430070.8142857143</v>
      </c>
      <c r="H160" s="104">
        <f>H$142/((1+0.12)^H$2)</f>
        <v>330018.2198660713</v>
      </c>
      <c r="I160" s="84">
        <f>I$142/((1+0.12)^I$2)</f>
        <v>299079.0117536271</v>
      </c>
      <c r="J160" s="104">
        <f>J$142/((1+0.12)^J$2)</f>
        <v>271040.35440172453</v>
      </c>
      <c r="K160" s="123">
        <f>K$142/((1+0.12)^K$2)</f>
        <v>245630.32117656281</v>
      </c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</sheetData>
  <pageMargins left="0.7" right="0.7" top="0.75" bottom="0.75" header="0.3" footer="0.3"/>
  <pageSetup scale="39" fitToHeight="0" orientation="landscape" r:id="rId1"/>
  <ignoredErrors>
    <ignoredError sqref="G41:G42 G151:K151 G106:K106 G46 G44 G43 G45 H41:K43 H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D3:D139</xm:sqref>
        </x14:dataValidation>
        <x14:dataValidation type="list" allowBlank="1" showInputMessage="1" showErrorMessage="1">
          <x14:formula1>
            <xm:f>'Validation Lists'!$C$2:$C$4</xm:f>
          </x14:formula1>
          <xm:sqref>F3:F139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9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24.140625" style="50" bestFit="1" customWidth="1"/>
    <col min="3" max="3" width="110.710937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5" style="1" bestFit="1" customWidth="1"/>
    <col min="12" max="16384" width="9.140625" style="1"/>
  </cols>
  <sheetData>
    <row r="1" spans="1:11" x14ac:dyDescent="0.2">
      <c r="A1" s="50" t="s">
        <v>335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0" t="s">
        <v>98</v>
      </c>
      <c r="E18" s="18">
        <f>Assumptions!$B$8</f>
        <v>1.4999999999999999E-2</v>
      </c>
      <c r="F18" s="18" t="s">
        <v>98</v>
      </c>
      <c r="G18" s="67">
        <f>Assumptions!B12</f>
        <v>344</v>
      </c>
      <c r="H18" s="170">
        <f>G18*(1+$E$18)</f>
        <v>349.15999999999997</v>
      </c>
      <c r="I18" s="171">
        <f>H18*(1+$E$18)</f>
        <v>354.39739999999995</v>
      </c>
      <c r="J18" s="170">
        <f>I18*(1+$E$18)</f>
        <v>359.71336099999991</v>
      </c>
      <c r="K18" s="172">
        <f>J18*(1+$E$18)</f>
        <v>365.10906141499987</v>
      </c>
    </row>
    <row r="19" spans="1:12" x14ac:dyDescent="0.2">
      <c r="A19" s="167"/>
      <c r="B19" s="166" t="s">
        <v>324</v>
      </c>
      <c r="C19" s="35" t="s">
        <v>103</v>
      </c>
      <c r="D19" s="38" t="s">
        <v>98</v>
      </c>
      <c r="E19" s="36"/>
      <c r="F19" s="36" t="s">
        <v>98</v>
      </c>
      <c r="G19" s="70">
        <v>0</v>
      </c>
      <c r="H19" s="91">
        <v>0</v>
      </c>
      <c r="I19" s="70">
        <v>0</v>
      </c>
      <c r="J19" s="91">
        <v>0</v>
      </c>
      <c r="K19" s="113">
        <v>0</v>
      </c>
      <c r="L19" s="26"/>
    </row>
    <row r="20" spans="1:12" x14ac:dyDescent="0.2">
      <c r="A20" s="167"/>
      <c r="B20" s="168"/>
      <c r="C20" s="14" t="s">
        <v>104</v>
      </c>
      <c r="D20" s="39" t="s">
        <v>98</v>
      </c>
      <c r="E20" s="25"/>
      <c r="F20" s="25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  <c r="L20" s="26"/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SUM(G47*G56,G50*G59,G53*G62)/52</f>
        <v>1</v>
      </c>
      <c r="H21" s="93">
        <f>SUM(H47*H56,H50*H59,H53*H62)/52</f>
        <v>1</v>
      </c>
      <c r="I21" s="73">
        <f>SUM(I47*I56,I50*I59,I53*I62)/52</f>
        <v>1</v>
      </c>
      <c r="J21" s="93">
        <f>SUM(J47*J56,J50*J59,J53*J62)/52</f>
        <v>1</v>
      </c>
      <c r="K21" s="115">
        <f>SUM(K47*K56,K50*K59,K53*K62)/52</f>
        <v>1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SUM(G49*G58,G52*G61,G54*G63)/52</f>
        <v>0</v>
      </c>
      <c r="H22" s="93">
        <f t="shared" ref="H22:K22" si="2">SUM(H49*H58,H52*H61,H54*H63)/52</f>
        <v>0</v>
      </c>
      <c r="I22" s="73">
        <f t="shared" si="2"/>
        <v>0</v>
      </c>
      <c r="J22" s="93">
        <f t="shared" si="2"/>
        <v>0</v>
      </c>
      <c r="K22" s="73">
        <f t="shared" si="2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SUM(G48*G57,G51*G60,G55*G64)/52</f>
        <v>2</v>
      </c>
      <c r="H27" s="93">
        <f>SUM(H48*H57,H51*H60,H55*H64)/52</f>
        <v>2</v>
      </c>
      <c r="I27" s="73">
        <f>SUM(I48*I57,I51*I60,I55*I64)/52</f>
        <v>2</v>
      </c>
      <c r="J27" s="93">
        <f>SUM(J48*J57,J51*J60,J55*J64)/52</f>
        <v>2</v>
      </c>
      <c r="K27" s="115">
        <f>SUM(K48*K57,K51*K60,K55*K64)/52</f>
        <v>2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3">
        <f>ROUND(G19,0)+ROUND(G20,0)+ROUND(G21,0)+ROUND(G22,0)+ROUND(G23,0)+ROUND(G24,0)+ROUND(G25,0)+ROUND(G26,0)+ROUND(G27,0)+ROUND(G28,0)+ROUND(G29,0)+ROUND(G30,0)</f>
        <v>3</v>
      </c>
      <c r="H31" s="93">
        <f t="shared" ref="H31:J31" si="3">ROUND(H19,0)+ROUND(H20,0)+ROUND(H21,0)+ROUND(H22,0)+ROUND(H23,0)+ROUND(H24,0)+ROUND(H25,0)+ROUND(H26,0)+ROUND(H27,0)+ROUND(H28,0)+ROUND(H29,0)+ROUND(H30,0)</f>
        <v>3</v>
      </c>
      <c r="I31" s="73">
        <f t="shared" si="3"/>
        <v>3</v>
      </c>
      <c r="J31" s="93">
        <f t="shared" si="3"/>
        <v>3</v>
      </c>
      <c r="K31" s="115">
        <f>ROUND(K19,0)+ROUND(K20,0)+ROUND(K21,0)+ROUND(K22,0)+ROUND(K23,0)+ROUND(K24,0)+ROUND(K25,0)+ROUND(K26,0)+ROUND(K27,0)+ROUND(K28,0)+ROUND(K29,0)+ROUND(K30,0)</f>
        <v>3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G47+G50+G53+G49+G52+G54</f>
        <v>1</v>
      </c>
      <c r="H32" s="90">
        <f t="shared" ref="H32:K32" si="4">H47+H50+H53+H49+H52+H54</f>
        <v>1</v>
      </c>
      <c r="I32" s="69">
        <f t="shared" si="4"/>
        <v>1</v>
      </c>
      <c r="J32" s="90">
        <f t="shared" si="4"/>
        <v>1</v>
      </c>
      <c r="K32" s="69">
        <f t="shared" si="4"/>
        <v>1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1</v>
      </c>
      <c r="H38" s="93">
        <f>ROUNDUP(H32+H33+H34+H35+H36-H37,0)</f>
        <v>1</v>
      </c>
      <c r="I38" s="73">
        <f>ROUNDUP(I32+I33+I34+I35+I36-I37,0)</f>
        <v>1</v>
      </c>
      <c r="J38" s="93">
        <f>ROUNDUP(+J32+J33+J34+J35+J36-J37,0)</f>
        <v>1</v>
      </c>
      <c r="K38" s="115">
        <f>ROUNDUP(K32+K33+K34+K35+K36-K37,0)</f>
        <v>1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5">H39</f>
        <v>0</v>
      </c>
      <c r="I40" s="73">
        <f t="shared" si="5"/>
        <v>0</v>
      </c>
      <c r="J40" s="93">
        <f t="shared" si="5"/>
        <v>0</v>
      </c>
      <c r="K40" s="115">
        <f t="shared" si="5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ROUND(G19,0)+ROUND(G20,0)+ROUND(G21,0)+ROUND(G22,0)+ROUND(G23,0)+ROUND(G24,0)+ROUND(G25,0)+ROUND(G26,0)-ROUND(G36,0)</f>
        <v>1</v>
      </c>
      <c r="H43" s="93">
        <f t="shared" ref="H43:K43" si="6">ROUND(H19,0)+ROUND(H20,0)+ROUND(H21,0)+ROUND(H22,0)+ROUND(H23,0)+ROUND(H24,0)+ROUND(H25,0)+ROUND(H26,0)-ROUND(H36,0)</f>
        <v>1</v>
      </c>
      <c r="I43" s="73">
        <f t="shared" si="6"/>
        <v>1</v>
      </c>
      <c r="J43" s="93">
        <f t="shared" si="6"/>
        <v>1</v>
      </c>
      <c r="K43" s="115">
        <f t="shared" si="6"/>
        <v>1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1</v>
      </c>
      <c r="H44" s="93">
        <f>IF(H43-G43&gt;0,H43-G43,0)</f>
        <v>0</v>
      </c>
      <c r="I44" s="73">
        <f t="shared" ref="I44:K44" si="7">IF(I43-H43&gt;0,I43-H43,0)</f>
        <v>0</v>
      </c>
      <c r="J44" s="93">
        <f t="shared" si="7"/>
        <v>0</v>
      </c>
      <c r="K44" s="115">
        <f t="shared" si="7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2</v>
      </c>
      <c r="H45" s="93">
        <f>ROUND(H27,0)+ROUND(H28,0)+ROUND(H29,0)+ROUND(H30,0)</f>
        <v>2</v>
      </c>
      <c r="I45" s="73">
        <f>ROUND(I27,0)+ROUND(I28,0)+ROUND(I29,0)+ROUND(I30,0)</f>
        <v>2</v>
      </c>
      <c r="J45" s="93">
        <f>ROUND(J27,0)+ROUND(J28,0)+ROUND(J29,0)+ROUND(J30,0)</f>
        <v>2</v>
      </c>
      <c r="K45" s="115">
        <f>ROUND(K27,0)+ROUND(K28,0)+ROUND(K29,0)+ROUND(K30,0)</f>
        <v>2</v>
      </c>
    </row>
    <row r="46" spans="1:11" ht="13.5" thickBot="1" x14ac:dyDescent="0.25">
      <c r="A46" s="150"/>
      <c r="B46" s="49"/>
      <c r="C46" s="30" t="s">
        <v>41</v>
      </c>
      <c r="D46" s="144" t="s">
        <v>98</v>
      </c>
      <c r="E46" s="31"/>
      <c r="F46" s="31" t="s">
        <v>98</v>
      </c>
      <c r="G46" s="71">
        <f>G45</f>
        <v>2</v>
      </c>
      <c r="H46" s="92">
        <f>IF(H45-G45&gt;0,H45-G45,0)</f>
        <v>0</v>
      </c>
      <c r="I46" s="71">
        <f t="shared" ref="I46" si="8">IF(I45-H45&gt;0,I45-H45,0)</f>
        <v>0</v>
      </c>
      <c r="J46" s="92">
        <f t="shared" ref="J46" si="9">IF(J45-I45&gt;0,J45-I45,0)</f>
        <v>0</v>
      </c>
      <c r="K46" s="114">
        <f t="shared" ref="K46" si="10">IF(K45-J45&gt;0,K45-J45,0)</f>
        <v>0</v>
      </c>
    </row>
    <row r="47" spans="1:11" x14ac:dyDescent="0.2">
      <c r="A47" s="48" t="s">
        <v>317</v>
      </c>
      <c r="B47" s="168" t="s">
        <v>318</v>
      </c>
      <c r="C47" s="13" t="s">
        <v>93</v>
      </c>
      <c r="D47" s="40" t="s">
        <v>98</v>
      </c>
      <c r="E47" s="19"/>
      <c r="F47" s="19" t="s">
        <v>98</v>
      </c>
      <c r="G47" s="70">
        <f>1/3</f>
        <v>0.33333333333333331</v>
      </c>
      <c r="H47" s="91">
        <f t="shared" ref="H47:K47" si="11">1/3</f>
        <v>0.33333333333333331</v>
      </c>
      <c r="I47" s="70">
        <f t="shared" si="11"/>
        <v>0.33333333333333331</v>
      </c>
      <c r="J47" s="91">
        <f t="shared" si="11"/>
        <v>0.33333333333333331</v>
      </c>
      <c r="K47" s="113">
        <f t="shared" si="11"/>
        <v>0.33333333333333331</v>
      </c>
    </row>
    <row r="48" spans="1:11" x14ac:dyDescent="0.2">
      <c r="A48" s="48"/>
      <c r="B48" s="168"/>
      <c r="C48" s="14" t="s">
        <v>94</v>
      </c>
      <c r="D48" s="39" t="s">
        <v>98</v>
      </c>
      <c r="E48" s="17"/>
      <c r="F48" s="17" t="s">
        <v>98</v>
      </c>
      <c r="G48" s="73">
        <f>2/3</f>
        <v>0.66666666666666663</v>
      </c>
      <c r="H48" s="93">
        <f>2/3</f>
        <v>0.66666666666666663</v>
      </c>
      <c r="I48" s="73">
        <f>2/3</f>
        <v>0.66666666666666663</v>
      </c>
      <c r="J48" s="93">
        <f>2/3</f>
        <v>0.66666666666666663</v>
      </c>
      <c r="K48" s="115">
        <f>2/3</f>
        <v>0.66666666666666663</v>
      </c>
    </row>
    <row r="49" spans="1:11" x14ac:dyDescent="0.2">
      <c r="A49" s="48"/>
      <c r="B49" s="168"/>
      <c r="C49" s="14" t="s">
        <v>421</v>
      </c>
      <c r="D49" s="39" t="s">
        <v>98</v>
      </c>
      <c r="E49" s="17"/>
      <c r="F49" s="17"/>
      <c r="G49" s="73">
        <v>0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99</v>
      </c>
      <c r="D50" s="39" t="s">
        <v>98</v>
      </c>
      <c r="E50" s="17"/>
      <c r="F50" s="17" t="s">
        <v>98</v>
      </c>
      <c r="G50" s="73">
        <f>1/3</f>
        <v>0.33333333333333331</v>
      </c>
      <c r="H50" s="93">
        <f t="shared" ref="H50:K50" si="12">1/3</f>
        <v>0.33333333333333331</v>
      </c>
      <c r="I50" s="73">
        <f t="shared" si="12"/>
        <v>0.33333333333333331</v>
      </c>
      <c r="J50" s="93">
        <f t="shared" si="12"/>
        <v>0.33333333333333331</v>
      </c>
      <c r="K50" s="115">
        <f t="shared" si="12"/>
        <v>0.33333333333333331</v>
      </c>
    </row>
    <row r="51" spans="1:11" x14ac:dyDescent="0.2">
      <c r="A51" s="48"/>
      <c r="B51" s="168"/>
      <c r="C51" s="14" t="s">
        <v>100</v>
      </c>
      <c r="D51" s="39" t="s">
        <v>98</v>
      </c>
      <c r="E51" s="17"/>
      <c r="F51" s="17" t="s">
        <v>98</v>
      </c>
      <c r="G51" s="73">
        <f>2/3</f>
        <v>0.66666666666666663</v>
      </c>
      <c r="H51" s="93">
        <f>2/3</f>
        <v>0.66666666666666663</v>
      </c>
      <c r="I51" s="73">
        <f>2/3</f>
        <v>0.66666666666666663</v>
      </c>
      <c r="J51" s="93">
        <f>2/3</f>
        <v>0.66666666666666663</v>
      </c>
      <c r="K51" s="115">
        <f>2/3</f>
        <v>0.66666666666666663</v>
      </c>
    </row>
    <row r="52" spans="1:11" x14ac:dyDescent="0.2">
      <c r="A52" s="48"/>
      <c r="B52" s="168"/>
      <c r="C52" s="14" t="s">
        <v>419</v>
      </c>
      <c r="D52" s="39" t="s">
        <v>98</v>
      </c>
      <c r="E52" s="17"/>
      <c r="F52" s="17"/>
      <c r="G52" s="73">
        <v>0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101</v>
      </c>
      <c r="D53" s="39" t="s">
        <v>98</v>
      </c>
      <c r="E53" s="17"/>
      <c r="F53" s="17" t="s">
        <v>98</v>
      </c>
      <c r="G53" s="73">
        <f>1/3</f>
        <v>0.33333333333333331</v>
      </c>
      <c r="H53" s="93">
        <f t="shared" ref="H53:K53" si="13">1/3</f>
        <v>0.33333333333333331</v>
      </c>
      <c r="I53" s="73">
        <f t="shared" si="13"/>
        <v>0.33333333333333331</v>
      </c>
      <c r="J53" s="93">
        <f t="shared" si="13"/>
        <v>0.33333333333333331</v>
      </c>
      <c r="K53" s="115">
        <f t="shared" si="13"/>
        <v>0.33333333333333331</v>
      </c>
    </row>
    <row r="54" spans="1:11" x14ac:dyDescent="0.2">
      <c r="A54" s="48"/>
      <c r="B54" s="168"/>
      <c r="C54" s="14" t="s">
        <v>420</v>
      </c>
      <c r="D54" s="39" t="s">
        <v>98</v>
      </c>
      <c r="E54" s="18"/>
      <c r="F54" s="18"/>
      <c r="G54" s="145">
        <v>0</v>
      </c>
      <c r="H54" s="146">
        <v>0</v>
      </c>
      <c r="I54" s="145">
        <v>0</v>
      </c>
      <c r="J54" s="146">
        <v>0</v>
      </c>
      <c r="K54" s="147">
        <v>0</v>
      </c>
    </row>
    <row r="55" spans="1:11" ht="13.5" thickBot="1" x14ac:dyDescent="0.25">
      <c r="A55" s="48"/>
      <c r="B55" s="168"/>
      <c r="C55" s="151" t="s">
        <v>102</v>
      </c>
      <c r="D55" s="39" t="s">
        <v>98</v>
      </c>
      <c r="E55" s="18"/>
      <c r="F55" s="18" t="s">
        <v>98</v>
      </c>
      <c r="G55" s="145">
        <f>2/3</f>
        <v>0.66666666666666663</v>
      </c>
      <c r="H55" s="146">
        <f>2/3</f>
        <v>0.66666666666666663</v>
      </c>
      <c r="I55" s="145">
        <f>2/3</f>
        <v>0.66666666666666663</v>
      </c>
      <c r="J55" s="146">
        <f>2/3</f>
        <v>0.66666666666666663</v>
      </c>
      <c r="K55" s="147">
        <f>2/3</f>
        <v>0.66666666666666663</v>
      </c>
    </row>
    <row r="56" spans="1:11" x14ac:dyDescent="0.2">
      <c r="A56" s="169" t="s">
        <v>320</v>
      </c>
      <c r="B56" s="169" t="s">
        <v>318</v>
      </c>
      <c r="C56" s="21" t="s">
        <v>93</v>
      </c>
      <c r="D56" s="42" t="s">
        <v>98</v>
      </c>
      <c r="E56" s="22"/>
      <c r="F56" s="22" t="s">
        <v>98</v>
      </c>
      <c r="G56" s="69">
        <v>52</v>
      </c>
      <c r="H56" s="90">
        <v>52</v>
      </c>
      <c r="I56" s="69">
        <v>52</v>
      </c>
      <c r="J56" s="90">
        <v>52</v>
      </c>
      <c r="K56" s="112">
        <v>52</v>
      </c>
    </row>
    <row r="57" spans="1:11" x14ac:dyDescent="0.2">
      <c r="A57" s="48"/>
      <c r="B57" s="48"/>
      <c r="C57" s="3" t="s">
        <v>94</v>
      </c>
      <c r="D57" s="39" t="s">
        <v>98</v>
      </c>
      <c r="E57" s="17"/>
      <c r="F57" s="17" t="s">
        <v>98</v>
      </c>
      <c r="G57" s="73">
        <v>52</v>
      </c>
      <c r="H57" s="93">
        <v>52</v>
      </c>
      <c r="I57" s="73">
        <v>52</v>
      </c>
      <c r="J57" s="93">
        <v>52</v>
      </c>
      <c r="K57" s="115">
        <v>52</v>
      </c>
    </row>
    <row r="58" spans="1:11" x14ac:dyDescent="0.2">
      <c r="A58" s="48"/>
      <c r="B58" s="48"/>
      <c r="C58" s="3" t="s">
        <v>421</v>
      </c>
      <c r="D58" s="39" t="s">
        <v>98</v>
      </c>
      <c r="E58" s="17"/>
      <c r="F58" s="17"/>
      <c r="G58" s="73">
        <v>0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48"/>
      <c r="C59" s="3" t="s">
        <v>99</v>
      </c>
      <c r="D59" s="39" t="s">
        <v>98</v>
      </c>
      <c r="E59" s="17"/>
      <c r="F59" s="17" t="s">
        <v>98</v>
      </c>
      <c r="G59" s="73">
        <v>52</v>
      </c>
      <c r="H59" s="93">
        <v>52</v>
      </c>
      <c r="I59" s="73">
        <v>52</v>
      </c>
      <c r="J59" s="93">
        <v>52</v>
      </c>
      <c r="K59" s="115">
        <v>52</v>
      </c>
    </row>
    <row r="60" spans="1:11" x14ac:dyDescent="0.2">
      <c r="A60" s="48"/>
      <c r="B60" s="48"/>
      <c r="C60" s="3" t="s">
        <v>100</v>
      </c>
      <c r="D60" s="39" t="s">
        <v>98</v>
      </c>
      <c r="E60" s="17"/>
      <c r="F60" s="17" t="s">
        <v>98</v>
      </c>
      <c r="G60" s="73">
        <v>52</v>
      </c>
      <c r="H60" s="93">
        <v>52</v>
      </c>
      <c r="I60" s="73">
        <v>52</v>
      </c>
      <c r="J60" s="93">
        <v>52</v>
      </c>
      <c r="K60" s="115">
        <v>52</v>
      </c>
    </row>
    <row r="61" spans="1:11" x14ac:dyDescent="0.2">
      <c r="A61" s="48"/>
      <c r="B61" s="48"/>
      <c r="C61" s="3" t="s">
        <v>419</v>
      </c>
      <c r="D61" s="39" t="s">
        <v>98</v>
      </c>
      <c r="E61" s="17"/>
      <c r="F61" s="17"/>
      <c r="G61" s="73">
        <v>0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48"/>
      <c r="C62" s="3" t="s">
        <v>101</v>
      </c>
      <c r="D62" s="39" t="s">
        <v>98</v>
      </c>
      <c r="E62" s="17"/>
      <c r="F62" s="17" t="s">
        <v>98</v>
      </c>
      <c r="G62" s="73">
        <v>52</v>
      </c>
      <c r="H62" s="93">
        <v>52</v>
      </c>
      <c r="I62" s="73">
        <v>52</v>
      </c>
      <c r="J62" s="93">
        <v>52</v>
      </c>
      <c r="K62" s="115">
        <v>52</v>
      </c>
    </row>
    <row r="63" spans="1:11" x14ac:dyDescent="0.2">
      <c r="A63" s="48"/>
      <c r="B63" s="48"/>
      <c r="C63" s="3" t="s">
        <v>420</v>
      </c>
      <c r="D63" s="39" t="s">
        <v>98</v>
      </c>
      <c r="E63" s="18"/>
      <c r="F63" s="18"/>
      <c r="G63" s="145">
        <v>0</v>
      </c>
      <c r="H63" s="146">
        <v>0</v>
      </c>
      <c r="I63" s="145">
        <v>0</v>
      </c>
      <c r="J63" s="146">
        <v>0</v>
      </c>
      <c r="K63" s="147">
        <v>0</v>
      </c>
    </row>
    <row r="64" spans="1:11" ht="13.5" thickBot="1" x14ac:dyDescent="0.25">
      <c r="A64" s="48"/>
      <c r="B64" s="48"/>
      <c r="C64" s="11" t="s">
        <v>102</v>
      </c>
      <c r="D64" s="39" t="s">
        <v>98</v>
      </c>
      <c r="E64" s="18"/>
      <c r="F64" s="18" t="s">
        <v>98</v>
      </c>
      <c r="G64" s="145">
        <v>52</v>
      </c>
      <c r="H64" s="146">
        <v>52</v>
      </c>
      <c r="I64" s="145">
        <v>52</v>
      </c>
      <c r="J64" s="146">
        <v>52</v>
      </c>
      <c r="K64" s="147">
        <v>52</v>
      </c>
    </row>
    <row r="65" spans="1:11" x14ac:dyDescent="0.2">
      <c r="A65" s="169" t="s">
        <v>321</v>
      </c>
      <c r="B65" s="169" t="s">
        <v>318</v>
      </c>
      <c r="C65" s="21" t="s">
        <v>93</v>
      </c>
      <c r="D65" s="42" t="s">
        <v>110</v>
      </c>
      <c r="E65" s="22"/>
      <c r="F65" s="22" t="s">
        <v>29</v>
      </c>
      <c r="G65" s="74">
        <f>G56*G47*G5</f>
        <v>30783.999999999996</v>
      </c>
      <c r="H65" s="94">
        <f>H56*H47*H5</f>
        <v>31245.759999999995</v>
      </c>
      <c r="I65" s="74">
        <f>I56*I47*I5</f>
        <v>31714.446399999993</v>
      </c>
      <c r="J65" s="94">
        <f>J56*J47*J5</f>
        <v>32190.163095999989</v>
      </c>
      <c r="K65" s="116">
        <f>K56*K47*K5</f>
        <v>32673.015542439989</v>
      </c>
    </row>
    <row r="66" spans="1:11" x14ac:dyDescent="0.2">
      <c r="A66" s="48"/>
      <c r="B66" s="48"/>
      <c r="C66" s="3" t="s">
        <v>94</v>
      </c>
      <c r="D66" s="39" t="s">
        <v>49</v>
      </c>
      <c r="E66" s="17"/>
      <c r="F66" s="17" t="s">
        <v>29</v>
      </c>
      <c r="G66" s="75">
        <f>G48*G57*G11</f>
        <v>152533.33333333331</v>
      </c>
      <c r="H66" s="95">
        <f>H48*H57*H11</f>
        <v>154821.33333333331</v>
      </c>
      <c r="I66" s="75">
        <f>I48*I57*I11</f>
        <v>157143.65333333332</v>
      </c>
      <c r="J66" s="95">
        <f>J48*J57*J11</f>
        <v>159500.80813333328</v>
      </c>
      <c r="K66" s="117">
        <f>K48*K57*K11</f>
        <v>161893.32025533327</v>
      </c>
    </row>
    <row r="67" spans="1:11" x14ac:dyDescent="0.2">
      <c r="A67" s="48"/>
      <c r="B67" s="48"/>
      <c r="C67" s="3" t="s">
        <v>421</v>
      </c>
      <c r="D67" s="39" t="s">
        <v>110</v>
      </c>
      <c r="E67" s="17"/>
      <c r="F67" s="17"/>
      <c r="G67" s="75">
        <f>G58*G49*G6</f>
        <v>0</v>
      </c>
      <c r="H67" s="95">
        <f t="shared" ref="H67:K67" si="14">H58*H49*H6</f>
        <v>0</v>
      </c>
      <c r="I67" s="75">
        <f t="shared" si="14"/>
        <v>0</v>
      </c>
      <c r="J67" s="95">
        <f t="shared" si="14"/>
        <v>0</v>
      </c>
      <c r="K67" s="117">
        <f t="shared" si="14"/>
        <v>0</v>
      </c>
    </row>
    <row r="68" spans="1:11" x14ac:dyDescent="0.2">
      <c r="A68" s="48"/>
      <c r="B68" s="48"/>
      <c r="C68" s="3" t="s">
        <v>99</v>
      </c>
      <c r="D68" s="39" t="s">
        <v>110</v>
      </c>
      <c r="E68" s="17"/>
      <c r="F68" s="17" t="s">
        <v>29</v>
      </c>
      <c r="G68" s="75">
        <f>G59*G50*G5</f>
        <v>30783.999999999996</v>
      </c>
      <c r="H68" s="95">
        <f>H59*H50*H5</f>
        <v>31245.759999999995</v>
      </c>
      <c r="I68" s="75">
        <f>I59*I50*I5</f>
        <v>31714.446399999993</v>
      </c>
      <c r="J68" s="95">
        <f>J59*J50*J5</f>
        <v>32190.163095999989</v>
      </c>
      <c r="K68" s="117">
        <f>K59*K50*K5</f>
        <v>32673.015542439989</v>
      </c>
    </row>
    <row r="69" spans="1:11" x14ac:dyDescent="0.2">
      <c r="A69" s="48"/>
      <c r="B69" s="48"/>
      <c r="C69" s="3" t="s">
        <v>100</v>
      </c>
      <c r="D69" s="39" t="s">
        <v>49</v>
      </c>
      <c r="E69" s="17"/>
      <c r="F69" s="17" t="s">
        <v>29</v>
      </c>
      <c r="G69" s="75">
        <f>G60*G51*G11</f>
        <v>152533.33333333331</v>
      </c>
      <c r="H69" s="95">
        <f>H60*H51*H11</f>
        <v>154821.33333333331</v>
      </c>
      <c r="I69" s="75">
        <f>I60*I51*I11</f>
        <v>157143.65333333332</v>
      </c>
      <c r="J69" s="95">
        <f>J60*J51*J11</f>
        <v>159500.80813333328</v>
      </c>
      <c r="K69" s="117">
        <f>K60*K51*K11</f>
        <v>161893.32025533327</v>
      </c>
    </row>
    <row r="70" spans="1:11" x14ac:dyDescent="0.2">
      <c r="A70" s="48"/>
      <c r="B70" s="48"/>
      <c r="C70" s="3" t="s">
        <v>419</v>
      </c>
      <c r="D70" s="39" t="s">
        <v>110</v>
      </c>
      <c r="E70" s="17"/>
      <c r="F70" s="17"/>
      <c r="G70" s="75">
        <f>G61*G52*G6</f>
        <v>0</v>
      </c>
      <c r="H70" s="95">
        <f t="shared" ref="H70:K70" si="15">H61*H52*H6</f>
        <v>0</v>
      </c>
      <c r="I70" s="75">
        <f t="shared" si="15"/>
        <v>0</v>
      </c>
      <c r="J70" s="95">
        <f t="shared" si="15"/>
        <v>0</v>
      </c>
      <c r="K70" s="117">
        <f t="shared" si="15"/>
        <v>0</v>
      </c>
    </row>
    <row r="71" spans="1:11" x14ac:dyDescent="0.2">
      <c r="A71" s="48"/>
      <c r="B71" s="48"/>
      <c r="C71" s="3" t="s">
        <v>101</v>
      </c>
      <c r="D71" s="39" t="s">
        <v>110</v>
      </c>
      <c r="E71" s="17"/>
      <c r="F71" s="17" t="s">
        <v>29</v>
      </c>
      <c r="G71" s="75">
        <f>G62*G53*G5</f>
        <v>30783.999999999996</v>
      </c>
      <c r="H71" s="95">
        <f>H62*H53*H5</f>
        <v>31245.759999999995</v>
      </c>
      <c r="I71" s="75">
        <f>I62*I53*I5</f>
        <v>31714.446399999993</v>
      </c>
      <c r="J71" s="95">
        <f>J62*J53*J5</f>
        <v>32190.163095999989</v>
      </c>
      <c r="K71" s="117">
        <f>K62*K53*K5</f>
        <v>32673.015542439989</v>
      </c>
    </row>
    <row r="72" spans="1:11" x14ac:dyDescent="0.2">
      <c r="A72" s="48"/>
      <c r="B72" s="48"/>
      <c r="C72" s="3" t="s">
        <v>420</v>
      </c>
      <c r="D72" s="39" t="s">
        <v>110</v>
      </c>
      <c r="E72" s="17"/>
      <c r="F72" s="17"/>
      <c r="G72" s="75">
        <f>G63*G54*G6</f>
        <v>0</v>
      </c>
      <c r="H72" s="95">
        <f t="shared" ref="H72:K72" si="16">H63*H54*H6</f>
        <v>0</v>
      </c>
      <c r="I72" s="75">
        <f t="shared" si="16"/>
        <v>0</v>
      </c>
      <c r="J72" s="95">
        <f t="shared" si="16"/>
        <v>0</v>
      </c>
      <c r="K72" s="117">
        <f t="shared" si="16"/>
        <v>0</v>
      </c>
    </row>
    <row r="73" spans="1:11" x14ac:dyDescent="0.2">
      <c r="A73" s="48"/>
      <c r="B73" s="48"/>
      <c r="C73" s="3" t="s">
        <v>102</v>
      </c>
      <c r="D73" s="39" t="s">
        <v>49</v>
      </c>
      <c r="E73" s="17"/>
      <c r="F73" s="17" t="s">
        <v>29</v>
      </c>
      <c r="G73" s="75">
        <f>G64*G55*G11</f>
        <v>152533.33333333331</v>
      </c>
      <c r="H73" s="95">
        <f>H64*H55*H11</f>
        <v>154821.33333333331</v>
      </c>
      <c r="I73" s="75">
        <f>I64*I55*I11</f>
        <v>157143.65333333332</v>
      </c>
      <c r="J73" s="95">
        <f>J64*J55*J11</f>
        <v>159500.80813333328</v>
      </c>
      <c r="K73" s="117">
        <f>K64*K55*K11</f>
        <v>161893.32025533327</v>
      </c>
    </row>
    <row r="74" spans="1:11" x14ac:dyDescent="0.2">
      <c r="A74" s="48"/>
      <c r="B74" s="168"/>
      <c r="C74" s="3" t="s">
        <v>115</v>
      </c>
      <c r="D74" s="39" t="s">
        <v>98</v>
      </c>
      <c r="E74" s="17"/>
      <c r="F74" s="17" t="s">
        <v>98</v>
      </c>
      <c r="G74" s="75">
        <f>SUM(G65:G67)</f>
        <v>183317.33333333331</v>
      </c>
      <c r="H74" s="95">
        <f t="shared" ref="H74:K74" si="17">SUM(H65:H67)</f>
        <v>186067.09333333332</v>
      </c>
      <c r="I74" s="75">
        <f t="shared" si="17"/>
        <v>188858.09973333331</v>
      </c>
      <c r="J74" s="95">
        <f t="shared" si="17"/>
        <v>191690.97122933326</v>
      </c>
      <c r="K74" s="117">
        <f t="shared" si="17"/>
        <v>194566.33579777327</v>
      </c>
    </row>
    <row r="75" spans="1:11" x14ac:dyDescent="0.2">
      <c r="A75" s="48"/>
      <c r="B75" s="168"/>
      <c r="C75" s="3" t="s">
        <v>116</v>
      </c>
      <c r="D75" s="39" t="s">
        <v>98</v>
      </c>
      <c r="E75" s="17"/>
      <c r="F75" s="17" t="s">
        <v>98</v>
      </c>
      <c r="G75" s="75">
        <f>SUM(G68:G70)</f>
        <v>183317.33333333331</v>
      </c>
      <c r="H75" s="95">
        <f t="shared" ref="H75:K75" si="18">SUM(H68:H70)</f>
        <v>186067.09333333332</v>
      </c>
      <c r="I75" s="75">
        <f t="shared" si="18"/>
        <v>188858.09973333331</v>
      </c>
      <c r="J75" s="95">
        <f t="shared" si="18"/>
        <v>191690.97122933326</v>
      </c>
      <c r="K75" s="117">
        <f t="shared" si="18"/>
        <v>194566.33579777327</v>
      </c>
    </row>
    <row r="76" spans="1:11" x14ac:dyDescent="0.2">
      <c r="A76" s="48"/>
      <c r="B76" s="168"/>
      <c r="C76" s="3" t="s">
        <v>117</v>
      </c>
      <c r="D76" s="39" t="s">
        <v>98</v>
      </c>
      <c r="E76" s="17"/>
      <c r="F76" s="17" t="s">
        <v>98</v>
      </c>
      <c r="G76" s="75">
        <f>SUM(G71:G73)</f>
        <v>183317.33333333331</v>
      </c>
      <c r="H76" s="95">
        <f t="shared" ref="H76:K76" si="19">SUM(H71:H73)</f>
        <v>186067.09333333332</v>
      </c>
      <c r="I76" s="75">
        <f t="shared" si="19"/>
        <v>188858.09973333331</v>
      </c>
      <c r="J76" s="95">
        <f t="shared" si="19"/>
        <v>191690.97122933326</v>
      </c>
      <c r="K76" s="117">
        <f t="shared" si="19"/>
        <v>194566.33579777327</v>
      </c>
    </row>
    <row r="77" spans="1:11" s="50" customFormat="1" ht="13.5" thickBot="1" x14ac:dyDescent="0.25">
      <c r="A77" s="150"/>
      <c r="B77" s="49"/>
      <c r="C77" s="52" t="s">
        <v>48</v>
      </c>
      <c r="D77" s="53" t="s">
        <v>98</v>
      </c>
      <c r="E77" s="54"/>
      <c r="F77" s="54" t="s">
        <v>98</v>
      </c>
      <c r="G77" s="55">
        <f>SUM(G74:G76)</f>
        <v>549952</v>
      </c>
      <c r="H77" s="55">
        <f>SUM(H74:H76)</f>
        <v>558201.28</v>
      </c>
      <c r="I77" s="55">
        <f>SUM(I74:I76)</f>
        <v>566574.29919999989</v>
      </c>
      <c r="J77" s="55">
        <f>SUM(J74:J76)</f>
        <v>575072.91368799983</v>
      </c>
      <c r="K77" s="56">
        <f>SUM(K74:K76)</f>
        <v>583699.00739331986</v>
      </c>
    </row>
    <row r="78" spans="1:11" x14ac:dyDescent="0.2">
      <c r="B78" s="169" t="s">
        <v>322</v>
      </c>
      <c r="C78" s="21" t="s">
        <v>42</v>
      </c>
      <c r="D78" s="38" t="s">
        <v>304</v>
      </c>
      <c r="E78" s="22"/>
      <c r="F78" s="22" t="s">
        <v>29</v>
      </c>
      <c r="G78" s="77">
        <v>0</v>
      </c>
      <c r="H78" s="97">
        <v>0</v>
      </c>
      <c r="I78" s="77">
        <v>0</v>
      </c>
      <c r="J78" s="97">
        <v>0</v>
      </c>
      <c r="K78" s="124">
        <v>0</v>
      </c>
    </row>
    <row r="79" spans="1:11" x14ac:dyDescent="0.2">
      <c r="B79" s="48"/>
      <c r="C79" s="3" t="s">
        <v>44</v>
      </c>
      <c r="D79" s="39" t="s">
        <v>303</v>
      </c>
      <c r="E79" s="17"/>
      <c r="F79" s="17" t="s">
        <v>29</v>
      </c>
      <c r="G79" s="78">
        <f>(G41*(G17+G18))+(G42*G16)+(G43*(G17+G18))+(G44*G16)+(G45*G17)+(G46*G16)</f>
        <v>30623</v>
      </c>
      <c r="H79" s="98">
        <f ca="1">(H41*(H17+H18))+(H42*H16)+(H43*(H17+H18))+(H44*H16)+(H45*H17)+(H46*H16)</f>
        <v>18433.414999999997</v>
      </c>
      <c r="I79" s="78">
        <f ca="1">(I41*(I17+I18))+(I42*I16)+(I43*(I17+I18))+(I44*I16)+(I45*I17)+(I46*I16)</f>
        <v>18709.916224999997</v>
      </c>
      <c r="J79" s="98">
        <f ca="1">(J41*(J17+J18))+(J42*J16)+(J43*(J17+J18))+(J44*J16)+(J45*J17)+(J46*J16)</f>
        <v>18990.564968374994</v>
      </c>
      <c r="K79" s="118">
        <f ca="1">(K41*(K17+K18))+(K42*K16)+(K43*(K17+K18))+(K44*K16)+(K45*K17)+(K46*K16)</f>
        <v>19275.423442900617</v>
      </c>
    </row>
    <row r="80" spans="1:11" x14ac:dyDescent="0.2">
      <c r="B80" s="48"/>
      <c r="C80" s="14" t="s">
        <v>45</v>
      </c>
      <c r="D80" s="149" t="s">
        <v>304</v>
      </c>
      <c r="E80" s="25"/>
      <c r="F80" s="25" t="s">
        <v>29</v>
      </c>
      <c r="G80" s="78">
        <v>0</v>
      </c>
      <c r="H80" s="98">
        <v>0</v>
      </c>
      <c r="I80" s="78">
        <v>0</v>
      </c>
      <c r="J80" s="98">
        <v>0</v>
      </c>
      <c r="K80" s="118">
        <v>0</v>
      </c>
    </row>
    <row r="81" spans="2:17" x14ac:dyDescent="0.2">
      <c r="B81" s="48"/>
      <c r="C81" s="14" t="s">
        <v>46</v>
      </c>
      <c r="D81" s="149" t="s">
        <v>304</v>
      </c>
      <c r="E81" s="25"/>
      <c r="F81" s="25" t="s">
        <v>29</v>
      </c>
      <c r="G81" s="78">
        <v>0</v>
      </c>
      <c r="H81" s="98">
        <v>0</v>
      </c>
      <c r="I81" s="78">
        <v>0</v>
      </c>
      <c r="J81" s="98">
        <v>0</v>
      </c>
      <c r="K81" s="118">
        <v>0</v>
      </c>
    </row>
    <row r="82" spans="2:17" x14ac:dyDescent="0.2">
      <c r="B82" s="48"/>
      <c r="C82" s="151" t="s">
        <v>47</v>
      </c>
      <c r="D82" s="148" t="s">
        <v>304</v>
      </c>
      <c r="E82" s="152"/>
      <c r="F82" s="25" t="s">
        <v>29</v>
      </c>
      <c r="G82" s="79">
        <v>0</v>
      </c>
      <c r="H82" s="100">
        <v>0</v>
      </c>
      <c r="I82" s="79">
        <v>0</v>
      </c>
      <c r="J82" s="100">
        <v>0</v>
      </c>
      <c r="K82" s="119">
        <v>0</v>
      </c>
    </row>
    <row r="83" spans="2:17" s="50" customFormat="1" ht="13.5" thickBot="1" x14ac:dyDescent="0.25">
      <c r="B83" s="51"/>
      <c r="C83" s="52" t="s">
        <v>48</v>
      </c>
      <c r="D83" s="57" t="s">
        <v>98</v>
      </c>
      <c r="E83" s="54"/>
      <c r="F83" s="54" t="s">
        <v>98</v>
      </c>
      <c r="G83" s="61">
        <f>SUM(G78:G82)</f>
        <v>30623</v>
      </c>
      <c r="H83" s="61">
        <f ca="1">SUM(H78:H82)</f>
        <v>18433.414999999997</v>
      </c>
      <c r="I83" s="61">
        <f ca="1">SUM(I78:I82)</f>
        <v>18709.916224999997</v>
      </c>
      <c r="J83" s="61">
        <f ca="1">SUM(J78:J82)</f>
        <v>18990.564968374994</v>
      </c>
      <c r="K83" s="62">
        <f ca="1">SUM(K78:K82)</f>
        <v>19275.423442900617</v>
      </c>
    </row>
    <row r="84" spans="2:17" x14ac:dyDescent="0.2">
      <c r="B84" s="169" t="s">
        <v>323</v>
      </c>
      <c r="C84" s="35" t="s">
        <v>50</v>
      </c>
      <c r="D84" s="42" t="s">
        <v>96</v>
      </c>
      <c r="E84" s="22"/>
      <c r="F84" s="22" t="s">
        <v>29</v>
      </c>
      <c r="G84" s="80">
        <v>0</v>
      </c>
      <c r="H84" s="99">
        <v>0</v>
      </c>
      <c r="I84" s="80">
        <v>0</v>
      </c>
      <c r="J84" s="99">
        <v>0</v>
      </c>
      <c r="K84" s="125">
        <v>0</v>
      </c>
      <c r="N84" s="60"/>
    </row>
    <row r="85" spans="2:17" x14ac:dyDescent="0.2">
      <c r="B85" s="48"/>
      <c r="C85" s="14" t="s">
        <v>76</v>
      </c>
      <c r="D85" s="39" t="s">
        <v>96</v>
      </c>
      <c r="E85" s="17"/>
      <c r="F85" s="17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2:17" x14ac:dyDescent="0.2">
      <c r="B86" s="48"/>
      <c r="C86" s="14" t="s">
        <v>51</v>
      </c>
      <c r="D86" s="39" t="s">
        <v>96</v>
      </c>
      <c r="E86" s="17"/>
      <c r="F86" s="17" t="s">
        <v>29</v>
      </c>
      <c r="G86" s="78">
        <v>0</v>
      </c>
      <c r="H86" s="98">
        <v>0</v>
      </c>
      <c r="I86" s="78">
        <v>0</v>
      </c>
      <c r="J86" s="98">
        <v>0</v>
      </c>
      <c r="K86" s="118">
        <v>0</v>
      </c>
    </row>
    <row r="87" spans="2:17" x14ac:dyDescent="0.2">
      <c r="B87" s="48"/>
      <c r="C87" s="14" t="s">
        <v>52</v>
      </c>
      <c r="D87" s="39" t="s">
        <v>96</v>
      </c>
      <c r="E87" s="17"/>
      <c r="F87" s="17" t="s">
        <v>29</v>
      </c>
      <c r="G87" s="78">
        <v>0</v>
      </c>
      <c r="H87" s="98">
        <v>0</v>
      </c>
      <c r="I87" s="78">
        <v>0</v>
      </c>
      <c r="J87" s="98">
        <v>0</v>
      </c>
      <c r="K87" s="118">
        <v>0</v>
      </c>
    </row>
    <row r="88" spans="2:17" s="50" customFormat="1" ht="13.5" thickBot="1" x14ac:dyDescent="0.25">
      <c r="B88" s="51"/>
      <c r="C88" s="52" t="s">
        <v>48</v>
      </c>
      <c r="D88" s="53" t="s">
        <v>98</v>
      </c>
      <c r="E88" s="54"/>
      <c r="F88" s="54" t="s">
        <v>98</v>
      </c>
      <c r="G88" s="61">
        <f>SUM(G84:G87)</f>
        <v>0</v>
      </c>
      <c r="H88" s="61">
        <f>SUM(H84:H87)</f>
        <v>0</v>
      </c>
      <c r="I88" s="61">
        <f>SUM(I84:I87)</f>
        <v>0</v>
      </c>
      <c r="J88" s="61">
        <f>SUM(J84:J87)</f>
        <v>0</v>
      </c>
      <c r="K88" s="62">
        <f>SUM(K84:K87)</f>
        <v>0</v>
      </c>
    </row>
    <row r="90" spans="2:17" ht="13.5" thickBot="1" x14ac:dyDescent="0.25">
      <c r="H90" s="60"/>
    </row>
    <row r="91" spans="2:17" s="50" customFormat="1" x14ac:dyDescent="0.2">
      <c r="C91" s="126" t="s">
        <v>120</v>
      </c>
      <c r="D91" s="127"/>
      <c r="E91" s="128"/>
      <c r="F91" s="129"/>
      <c r="G91" s="141">
        <f>SUM(G77+G83+G88)</f>
        <v>580575</v>
      </c>
      <c r="H91" s="134">
        <f ca="1">H77+H83+H88</f>
        <v>576634.69500000007</v>
      </c>
      <c r="I91" s="134">
        <f ca="1">SUM(I77+I83+I88)</f>
        <v>585284.21542499994</v>
      </c>
      <c r="J91" s="134">
        <f ca="1">SUM(J77+J83+J88)</f>
        <v>594063.47865637485</v>
      </c>
      <c r="K91" s="135">
        <f ca="1">SUM(K77+K83+K88)</f>
        <v>602974.4308362205</v>
      </c>
      <c r="M91" s="1"/>
      <c r="N91" s="1"/>
      <c r="O91" s="1"/>
      <c r="P91" s="1"/>
      <c r="Q91" s="1"/>
    </row>
    <row r="92" spans="2:17" ht="13.5" thickBot="1" x14ac:dyDescent="0.25">
      <c r="C92" s="130" t="s">
        <v>121</v>
      </c>
      <c r="D92" s="53"/>
      <c r="E92" s="54"/>
      <c r="F92" s="142"/>
      <c r="G92" s="143">
        <f>G91</f>
        <v>580575</v>
      </c>
      <c r="H92" s="136">
        <f ca="1">G92+H91</f>
        <v>1157209.6950000001</v>
      </c>
      <c r="I92" s="136">
        <f ca="1">H92+I91</f>
        <v>1742493.9104249999</v>
      </c>
      <c r="J92" s="136">
        <f ca="1">I92+J91</f>
        <v>2336557.3890813747</v>
      </c>
      <c r="K92" s="137">
        <f ca="1">J92+K91</f>
        <v>2939531.819917595</v>
      </c>
    </row>
    <row r="93" spans="2:17" x14ac:dyDescent="0.2">
      <c r="C93" s="32" t="s">
        <v>110</v>
      </c>
      <c r="D93" s="40"/>
      <c r="E93" s="19"/>
      <c r="F93" s="19"/>
      <c r="G93" s="82">
        <f t="shared" ref="G93:K99" si="20">SUMIF($D$3:$D$88,$C93,G$3:G$88)</f>
        <v>92351.999999999985</v>
      </c>
      <c r="H93" s="102">
        <f t="shared" si="20"/>
        <v>93737.279999999984</v>
      </c>
      <c r="I93" s="82">
        <f t="shared" si="20"/>
        <v>95143.339199999988</v>
      </c>
      <c r="J93" s="102">
        <f t="shared" si="20"/>
        <v>96570.489287999968</v>
      </c>
      <c r="K93" s="121">
        <f t="shared" si="20"/>
        <v>98019.046627319971</v>
      </c>
    </row>
    <row r="94" spans="2:17" x14ac:dyDescent="0.2">
      <c r="C94" s="59" t="s">
        <v>111</v>
      </c>
      <c r="D94" s="39"/>
      <c r="E94" s="17"/>
      <c r="F94" s="17"/>
      <c r="G94" s="82">
        <f t="shared" si="20"/>
        <v>0</v>
      </c>
      <c r="H94" s="102">
        <f t="shared" si="20"/>
        <v>0</v>
      </c>
      <c r="I94" s="82">
        <f t="shared" si="20"/>
        <v>0</v>
      </c>
      <c r="J94" s="102">
        <f t="shared" si="20"/>
        <v>0</v>
      </c>
      <c r="K94" s="117">
        <f t="shared" si="20"/>
        <v>0</v>
      </c>
    </row>
    <row r="95" spans="2:17" x14ac:dyDescent="0.2">
      <c r="C95" s="59" t="s">
        <v>112</v>
      </c>
      <c r="D95" s="39"/>
      <c r="E95" s="17"/>
      <c r="F95" s="17"/>
      <c r="G95" s="82">
        <f t="shared" si="20"/>
        <v>0</v>
      </c>
      <c r="H95" s="102">
        <f t="shared" si="20"/>
        <v>0</v>
      </c>
      <c r="I95" s="82">
        <f t="shared" si="20"/>
        <v>0</v>
      </c>
      <c r="J95" s="102">
        <f t="shared" si="20"/>
        <v>0</v>
      </c>
      <c r="K95" s="121">
        <f t="shared" si="20"/>
        <v>0</v>
      </c>
    </row>
    <row r="96" spans="2:17" x14ac:dyDescent="0.2">
      <c r="C96" s="59" t="s">
        <v>113</v>
      </c>
      <c r="D96" s="39"/>
      <c r="E96" s="17"/>
      <c r="F96" s="17"/>
      <c r="G96" s="82">
        <f t="shared" si="20"/>
        <v>0</v>
      </c>
      <c r="H96" s="102">
        <f t="shared" si="20"/>
        <v>0</v>
      </c>
      <c r="I96" s="82">
        <f t="shared" si="20"/>
        <v>0</v>
      </c>
      <c r="J96" s="102">
        <f t="shared" si="20"/>
        <v>0</v>
      </c>
      <c r="K96" s="121">
        <f t="shared" si="20"/>
        <v>0</v>
      </c>
    </row>
    <row r="97" spans="3:11" x14ac:dyDescent="0.2">
      <c r="C97" s="59" t="s">
        <v>49</v>
      </c>
      <c r="D97" s="39"/>
      <c r="E97" s="17"/>
      <c r="F97" s="17"/>
      <c r="G97" s="82">
        <f t="shared" si="20"/>
        <v>457599.99999999994</v>
      </c>
      <c r="H97" s="102">
        <f t="shared" si="20"/>
        <v>464463.99999999994</v>
      </c>
      <c r="I97" s="82">
        <f t="shared" si="20"/>
        <v>471430.95999999996</v>
      </c>
      <c r="J97" s="102">
        <f t="shared" si="20"/>
        <v>478502.42439999984</v>
      </c>
      <c r="K97" s="121">
        <f t="shared" si="20"/>
        <v>485679.9607659998</v>
      </c>
    </row>
    <row r="98" spans="3:11" x14ac:dyDescent="0.2">
      <c r="C98" s="59" t="s">
        <v>303</v>
      </c>
      <c r="D98" s="39"/>
      <c r="E98" s="17"/>
      <c r="F98" s="17"/>
      <c r="G98" s="82">
        <f t="shared" si="20"/>
        <v>30623</v>
      </c>
      <c r="H98" s="102">
        <f t="shared" ca="1" si="20"/>
        <v>18433.414999999997</v>
      </c>
      <c r="I98" s="82">
        <f t="shared" ca="1" si="20"/>
        <v>18709.916224999997</v>
      </c>
      <c r="J98" s="102">
        <f t="shared" ca="1" si="20"/>
        <v>18990.564968374994</v>
      </c>
      <c r="K98" s="121">
        <f t="shared" ca="1" si="20"/>
        <v>19275.423442900617</v>
      </c>
    </row>
    <row r="99" spans="3:11" x14ac:dyDescent="0.2">
      <c r="C99" s="59" t="s">
        <v>304</v>
      </c>
      <c r="D99" s="39"/>
      <c r="E99" s="17"/>
      <c r="F99" s="17"/>
      <c r="G99" s="82">
        <f t="shared" si="20"/>
        <v>0</v>
      </c>
      <c r="H99" s="102">
        <f t="shared" si="20"/>
        <v>0</v>
      </c>
      <c r="I99" s="82">
        <f t="shared" si="20"/>
        <v>0</v>
      </c>
      <c r="J99" s="102">
        <f t="shared" si="20"/>
        <v>0</v>
      </c>
      <c r="K99" s="121">
        <f t="shared" si="20"/>
        <v>0</v>
      </c>
    </row>
    <row r="100" spans="3:11" s="50" customFormat="1" x14ac:dyDescent="0.2">
      <c r="C100" s="159" t="s">
        <v>53</v>
      </c>
      <c r="D100" s="160"/>
      <c r="E100" s="161"/>
      <c r="F100" s="161"/>
      <c r="G100" s="162">
        <f>SUM(G93:G99)</f>
        <v>580574.99999999988</v>
      </c>
      <c r="H100" s="163">
        <f t="shared" ref="H100:K100" ca="1" si="21">SUM(H93:H99)</f>
        <v>576634.69499999995</v>
      </c>
      <c r="I100" s="162">
        <f t="shared" ca="1" si="21"/>
        <v>585284.21542500006</v>
      </c>
      <c r="J100" s="163">
        <f t="shared" ca="1" si="21"/>
        <v>594063.47865637485</v>
      </c>
      <c r="K100" s="164">
        <f t="shared" ca="1" si="21"/>
        <v>602974.43083622039</v>
      </c>
    </row>
    <row r="101" spans="3:11" ht="13.5" thickBot="1" x14ac:dyDescent="0.25">
      <c r="C101" s="33" t="s">
        <v>96</v>
      </c>
      <c r="D101" s="41"/>
      <c r="E101" s="31"/>
      <c r="F101" s="31"/>
      <c r="G101" s="81">
        <f>SUMIF($D$3:$D$88,$C101,G$3:G$88)</f>
        <v>0</v>
      </c>
      <c r="H101" s="101">
        <f>SUMIF($D$3:$D$88,$C101,H$3:H$88)</f>
        <v>0</v>
      </c>
      <c r="I101" s="81">
        <f>SUMIF($D$3:$D$88,$C101,I$3:I$88)</f>
        <v>0</v>
      </c>
      <c r="J101" s="101">
        <f>SUMIF($D$3:$D$88,$C101,J$3:J$88)</f>
        <v>0</v>
      </c>
      <c r="K101" s="120">
        <f>SUMIF($D$3:$D$88,$C101,K$3:K$88)</f>
        <v>0</v>
      </c>
    </row>
    <row r="103" spans="3:11" ht="13.5" thickBot="1" x14ac:dyDescent="0.25"/>
    <row r="104" spans="3:11" x14ac:dyDescent="0.2">
      <c r="C104" s="58" t="s">
        <v>114</v>
      </c>
      <c r="D104" s="42"/>
      <c r="E104" s="22"/>
      <c r="F104" s="22"/>
      <c r="G104" s="63"/>
      <c r="H104" s="63"/>
      <c r="I104" s="63"/>
      <c r="J104" s="63"/>
      <c r="K104" s="64"/>
    </row>
    <row r="105" spans="3:11" x14ac:dyDescent="0.2">
      <c r="C105" s="59" t="s">
        <v>54</v>
      </c>
      <c r="D105" s="39"/>
      <c r="E105" s="17"/>
      <c r="F105" s="17"/>
      <c r="G105" s="83">
        <f>G$91/((1+0.03)^G$2)</f>
        <v>563665.04854368931</v>
      </c>
      <c r="H105" s="103">
        <f ca="1">H$91/((1+0.03)^H$2)</f>
        <v>543533.50457159022</v>
      </c>
      <c r="I105" s="83">
        <f ca="1">I$91/((1+0.03)^I$2)</f>
        <v>535617.9680972466</v>
      </c>
      <c r="J105" s="103">
        <f ca="1">J$91/((1+0.03)^J$2)</f>
        <v>527817.70642592735</v>
      </c>
      <c r="K105" s="122">
        <f ca="1">K$91/((1+0.03)^K$2)</f>
        <v>520131.04079836543</v>
      </c>
    </row>
    <row r="106" spans="3:11" x14ac:dyDescent="0.2">
      <c r="C106" s="59" t="s">
        <v>55</v>
      </c>
      <c r="D106" s="39"/>
      <c r="E106" s="17"/>
      <c r="F106" s="17"/>
      <c r="G106" s="83">
        <f>G$91/((1+0.05)^G$2)</f>
        <v>552928.57142857136</v>
      </c>
      <c r="H106" s="103">
        <f ca="1">H$91/((1+0.05)^H$2)</f>
        <v>523024.66666666669</v>
      </c>
      <c r="I106" s="83">
        <f ca="1">I$91/((1+0.05)^I$2)</f>
        <v>505590.51111111103</v>
      </c>
      <c r="J106" s="103">
        <f ca="1">J$91/((1+0.05)^J$2)</f>
        <v>488737.49407407397</v>
      </c>
      <c r="K106" s="122">
        <f ca="1">K$91/((1+0.05)^K$2)</f>
        <v>472446.24427160481</v>
      </c>
    </row>
    <row r="107" spans="3:11" x14ac:dyDescent="0.2">
      <c r="C107" s="59" t="s">
        <v>56</v>
      </c>
      <c r="D107" s="39"/>
      <c r="E107" s="17"/>
      <c r="F107" s="17"/>
      <c r="G107" s="83">
        <f>G$91/((1+0.08)^G$2)</f>
        <v>537569.44444444438</v>
      </c>
      <c r="H107" s="103">
        <f ca="1">H$91/((1+0.08)^H$2)</f>
        <v>494371.30915637861</v>
      </c>
      <c r="I107" s="83">
        <f ca="1">I$91/((1+0.08)^I$2)</f>
        <v>464617.48036455939</v>
      </c>
      <c r="J107" s="103">
        <f ca="1">J$91/((1+0.08)^J$2)</f>
        <v>436654.39126854413</v>
      </c>
      <c r="K107" s="122">
        <f ca="1">K$91/((1+0.08)^K$2)</f>
        <v>410374.26586812251</v>
      </c>
    </row>
    <row r="108" spans="3:11" x14ac:dyDescent="0.2">
      <c r="C108" s="59" t="s">
        <v>57</v>
      </c>
      <c r="D108" s="39"/>
      <c r="E108" s="17"/>
      <c r="F108" s="17"/>
      <c r="G108" s="83">
        <f>G$91/((1+0.1)^G$2)</f>
        <v>527795.45454545447</v>
      </c>
      <c r="H108" s="103">
        <f ca="1">H$91/((1+0.1)^H$2)</f>
        <v>476557.5991735537</v>
      </c>
      <c r="I108" s="83">
        <f ca="1">I$91/((1+0.1)^I$2)</f>
        <v>439732.69378286984</v>
      </c>
      <c r="J108" s="103">
        <f ca="1">J$91/((1+0.1)^J$2)</f>
        <v>405753.34926328441</v>
      </c>
      <c r="K108" s="122">
        <f ca="1">K$91/((1+0.1)^K$2)</f>
        <v>374399.68136566697</v>
      </c>
    </row>
    <row r="109" spans="3:11" ht="13.5" thickBot="1" x14ac:dyDescent="0.25">
      <c r="C109" s="33" t="s">
        <v>58</v>
      </c>
      <c r="D109" s="41"/>
      <c r="E109" s="31"/>
      <c r="F109" s="31"/>
      <c r="G109" s="84">
        <f>G$91/((1+0.12)^G$2)</f>
        <v>518370.53571428568</v>
      </c>
      <c r="H109" s="104">
        <f ca="1">H$91/((1+0.12)^H$2)</f>
        <v>459689.6484375</v>
      </c>
      <c r="I109" s="84">
        <f ca="1">I$91/((1+0.12)^I$2)</f>
        <v>416593.7438964842</v>
      </c>
      <c r="J109" s="104">
        <f ca="1">J$91/((1+0.12)^J$2)</f>
        <v>377538.08040618879</v>
      </c>
      <c r="K109" s="123">
        <f ca="1">K$91/((1+0.12)^K$2)</f>
        <v>342143.88536810857</v>
      </c>
    </row>
  </sheetData>
  <pageMargins left="0.7" right="0.7" top="0.75" bottom="0.75" header="0.3" footer="0.3"/>
  <pageSetup scale="45" fitToHeight="0" orientation="landscape" r:id="rId1"/>
  <ignoredErrors>
    <ignoredError sqref="G53:K53 G66 G43:K43 G45:K45 H91 G100:K100 J38 G41 G50:K50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D3:D88</xm:sqref>
        </x14:dataValidation>
        <x14:dataValidation type="list" allowBlank="1" showInputMessage="1" showErrorMessage="1">
          <x14:formula1>
            <xm:f>'Validation Lists'!$C$2:$C$4</xm:f>
          </x14:formula1>
          <xm:sqref>F3:F88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23"/>
  <sheetViews>
    <sheetView zoomScale="70" zoomScaleNormal="70" workbookViewId="0"/>
  </sheetViews>
  <sheetFormatPr defaultRowHeight="12.75" x14ac:dyDescent="0.2"/>
  <cols>
    <col min="1" max="1" width="22.42578125" style="50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8" width="15.7109375" style="1" bestFit="1" customWidth="1"/>
    <col min="9" max="9" width="17.140625" style="1" bestFit="1" customWidth="1"/>
    <col min="10" max="10" width="16.7109375" style="1" bestFit="1" customWidth="1"/>
    <col min="11" max="11" width="17.140625" style="1" bestFit="1" customWidth="1"/>
    <col min="12" max="16384" width="9.140625" style="1"/>
  </cols>
  <sheetData>
    <row r="1" spans="1:11" x14ac:dyDescent="0.2">
      <c r="A1" s="50" t="s">
        <v>356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SUM(G49*G62,G52*G65,G55*G68,G58*G71)/52</f>
        <v>0</v>
      </c>
      <c r="H22" s="93">
        <f t="shared" ref="H22:K22" si="2">SUM(H49*H62,H52*H65,H55*H68,H58*H71)/52</f>
        <v>0</v>
      </c>
      <c r="I22" s="73">
        <f t="shared" si="2"/>
        <v>0</v>
      </c>
      <c r="J22" s="93">
        <f t="shared" si="2"/>
        <v>0</v>
      </c>
      <c r="K22" s="115">
        <f t="shared" si="2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SUM(G47*G60,G50*G63,G53*G66,G56*G69,G59*G72)/52</f>
        <v>0</v>
      </c>
      <c r="H24" s="93">
        <f t="shared" ref="H24:K24" si="3">SUM(H47*H60,H50*H63,H53*H66,H56*H69,H59*H72)/52</f>
        <v>2</v>
      </c>
      <c r="I24" s="73">
        <f t="shared" si="3"/>
        <v>0</v>
      </c>
      <c r="J24" s="93">
        <f t="shared" si="3"/>
        <v>0</v>
      </c>
      <c r="K24" s="115">
        <f t="shared" si="3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SUM(G48*G61,G51*G64,G54*G67,G57*G70)/52</f>
        <v>0</v>
      </c>
      <c r="H27" s="93">
        <f>SUM(H48*H61,H51*H64,H54*H67,H57*H70)/52</f>
        <v>2</v>
      </c>
      <c r="I27" s="73">
        <f>SUM(I48*I61,I51*I64,I54*I67,I57*I70)/52</f>
        <v>0</v>
      </c>
      <c r="J27" s="93">
        <f>SUM(J48*J61,J51*J64,J54*J67,J57*J70)/52</f>
        <v>0</v>
      </c>
      <c r="K27" s="115">
        <f>SUM(K48*K61,K51*K64,K54*K67,K57*K70)/52</f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4">ROUND(H19,0)+ROUND(H20,0)+ROUND(H21,0)+ROUND(H22,0)+ROUND(H23,0)+ROUND(H24,0)+ROUND(H25,0)+ROUND(H26,0)+ROUND(H27,0)+ROUND(H28,0)+ROUND(H29,0)+ROUND(H30,0)</f>
        <v>4</v>
      </c>
      <c r="I31" s="71">
        <f t="shared" si="4"/>
        <v>0</v>
      </c>
      <c r="J31" s="92">
        <f t="shared" si="4"/>
        <v>0</v>
      </c>
      <c r="K31" s="114">
        <f t="shared" si="4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G49+G52+G55+G58</f>
        <v>0</v>
      </c>
      <c r="H32" s="90">
        <f t="shared" ref="H32:K32" si="5">H49+H52+H55+H58</f>
        <v>0</v>
      </c>
      <c r="I32" s="69">
        <f t="shared" si="5"/>
        <v>0</v>
      </c>
      <c r="J32" s="90">
        <f t="shared" si="5"/>
        <v>0</v>
      </c>
      <c r="K32" s="112">
        <f t="shared" si="5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G47+G50+G53+G56</f>
        <v>4</v>
      </c>
      <c r="H34" s="93">
        <f t="shared" ref="H34:K34" si="6">H47+H50+H53+H56</f>
        <v>2</v>
      </c>
      <c r="I34" s="73">
        <f t="shared" si="6"/>
        <v>0</v>
      </c>
      <c r="J34" s="93">
        <f t="shared" si="6"/>
        <v>0</v>
      </c>
      <c r="K34" s="115">
        <f t="shared" si="6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4</v>
      </c>
      <c r="H38" s="93">
        <f t="shared" ref="H38:K38" si="7">ROUNDUP(H32+H33+H34+H35+H36-H37,0)</f>
        <v>2</v>
      </c>
      <c r="I38" s="73">
        <f t="shared" si="7"/>
        <v>0</v>
      </c>
      <c r="J38" s="93">
        <f t="shared" si="7"/>
        <v>0</v>
      </c>
      <c r="K38" s="115">
        <f t="shared" si="7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8">H39</f>
        <v>0</v>
      </c>
      <c r="I40" s="73">
        <f t="shared" si="8"/>
        <v>0</v>
      </c>
      <c r="J40" s="93">
        <f t="shared" si="8"/>
        <v>0</v>
      </c>
      <c r="K40" s="115">
        <f t="shared" si="8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 t="shared" ref="H43:K43" si="9">ROUND(H21,0)+ROUND(H22,0)+ROUND(H23,0)+ROUND(H24,0)+ROUND(H25,0)+ROUND(H26,0)-ROUND(H36,0)+ROUND(H19,0)+ROUND(H20,0)</f>
        <v>2</v>
      </c>
      <c r="I43" s="73">
        <f t="shared" si="9"/>
        <v>0</v>
      </c>
      <c r="J43" s="93">
        <f t="shared" si="9"/>
        <v>0</v>
      </c>
      <c r="K43" s="115">
        <f t="shared" si="9"/>
        <v>0</v>
      </c>
    </row>
    <row r="44" spans="1:11" x14ac:dyDescent="0.2">
      <c r="A44" s="167"/>
      <c r="B44" s="168"/>
      <c r="C44" s="3" t="s">
        <v>409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2</v>
      </c>
      <c r="I44" s="73">
        <f t="shared" ref="I44:K44" si="10">IF(I43-H43&gt;0,I43-H43,0)</f>
        <v>0</v>
      </c>
      <c r="J44" s="93">
        <f t="shared" si="10"/>
        <v>0</v>
      </c>
      <c r="K44" s="115">
        <f t="shared" si="10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2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>IF(H45-G45&gt;0,H45-G45,0)</f>
        <v>2</v>
      </c>
      <c r="I46" s="71">
        <f t="shared" ref="I46" si="11">IF(I45-H45&gt;0,I45-H45,0)</f>
        <v>0</v>
      </c>
      <c r="J46" s="92">
        <f t="shared" ref="J46" si="12">IF(J45-I45&gt;0,J45-I45,0)</f>
        <v>0</v>
      </c>
      <c r="K46" s="114">
        <f t="shared" ref="K46" si="13">IF(K45-J45&gt;0,K45-J45,0)</f>
        <v>0</v>
      </c>
    </row>
    <row r="47" spans="1:11" x14ac:dyDescent="0.2">
      <c r="A47" s="48" t="s">
        <v>317</v>
      </c>
      <c r="B47" s="168" t="s">
        <v>318</v>
      </c>
      <c r="C47" s="13" t="s">
        <v>143</v>
      </c>
      <c r="D47" s="40" t="s">
        <v>98</v>
      </c>
      <c r="E47" s="19"/>
      <c r="F47" s="19" t="s">
        <v>98</v>
      </c>
      <c r="G47" s="70">
        <v>1</v>
      </c>
      <c r="H47" s="91">
        <v>0.5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4" t="s">
        <v>141</v>
      </c>
      <c r="D48" s="39" t="s">
        <v>98</v>
      </c>
      <c r="E48" s="17"/>
      <c r="F48" s="17" t="s">
        <v>98</v>
      </c>
      <c r="G48" s="73">
        <v>1</v>
      </c>
      <c r="H48" s="93">
        <v>0.5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14" t="s">
        <v>414</v>
      </c>
      <c r="D49" s="39" t="s">
        <v>98</v>
      </c>
      <c r="E49" s="17"/>
      <c r="F49" s="17"/>
      <c r="G49" s="73">
        <v>0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144</v>
      </c>
      <c r="D50" s="39" t="s">
        <v>98</v>
      </c>
      <c r="E50" s="17"/>
      <c r="F50" s="17" t="s">
        <v>98</v>
      </c>
      <c r="G50" s="73">
        <v>1</v>
      </c>
      <c r="H50" s="93">
        <v>0.5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142</v>
      </c>
      <c r="D51" s="39" t="s">
        <v>98</v>
      </c>
      <c r="E51" s="17"/>
      <c r="F51" s="17" t="s">
        <v>98</v>
      </c>
      <c r="G51" s="73">
        <v>1</v>
      </c>
      <c r="H51" s="93">
        <v>0.5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415</v>
      </c>
      <c r="D52" s="39" t="s">
        <v>98</v>
      </c>
      <c r="E52" s="17"/>
      <c r="F52" s="17"/>
      <c r="G52" s="73">
        <v>0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145</v>
      </c>
      <c r="D53" s="39" t="s">
        <v>98</v>
      </c>
      <c r="E53" s="17"/>
      <c r="F53" s="17" t="s">
        <v>98</v>
      </c>
      <c r="G53" s="73">
        <v>1</v>
      </c>
      <c r="H53" s="93">
        <v>0.5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146</v>
      </c>
      <c r="D54" s="39" t="s">
        <v>98</v>
      </c>
      <c r="E54" s="17"/>
      <c r="F54" s="17" t="s">
        <v>98</v>
      </c>
      <c r="G54" s="73">
        <v>1</v>
      </c>
      <c r="H54" s="93">
        <v>0.5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14" t="s">
        <v>416</v>
      </c>
      <c r="D55" s="39" t="s">
        <v>98</v>
      </c>
      <c r="E55" s="17"/>
      <c r="F55" s="17"/>
      <c r="G55" s="73">
        <v>0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14" t="s">
        <v>147</v>
      </c>
      <c r="D56" s="39" t="s">
        <v>98</v>
      </c>
      <c r="E56" s="17"/>
      <c r="F56" s="17" t="s">
        <v>98</v>
      </c>
      <c r="G56" s="73">
        <v>1</v>
      </c>
      <c r="H56" s="93">
        <v>0.5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168"/>
      <c r="C57" s="14" t="s">
        <v>148</v>
      </c>
      <c r="D57" s="39" t="s">
        <v>98</v>
      </c>
      <c r="E57" s="17"/>
      <c r="F57" s="17" t="s">
        <v>98</v>
      </c>
      <c r="G57" s="73">
        <v>1</v>
      </c>
      <c r="H57" s="93">
        <v>0.5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48"/>
      <c r="C58" s="151" t="s">
        <v>417</v>
      </c>
      <c r="D58" s="44" t="s">
        <v>98</v>
      </c>
      <c r="E58" s="18"/>
      <c r="F58" s="18"/>
      <c r="G58" s="145">
        <v>0</v>
      </c>
      <c r="H58" s="146">
        <v>0</v>
      </c>
      <c r="I58" s="145">
        <v>0</v>
      </c>
      <c r="J58" s="146">
        <v>0</v>
      </c>
      <c r="K58" s="147">
        <v>0</v>
      </c>
    </row>
    <row r="59" spans="1:11" ht="13.5" thickBot="1" x14ac:dyDescent="0.25">
      <c r="A59" s="48"/>
      <c r="B59" s="48"/>
      <c r="C59" s="30" t="s">
        <v>346</v>
      </c>
      <c r="D59" s="41" t="s">
        <v>98</v>
      </c>
      <c r="E59" s="31"/>
      <c r="F59" s="31"/>
      <c r="G59" s="71">
        <v>0</v>
      </c>
      <c r="H59" s="92">
        <v>0</v>
      </c>
      <c r="I59" s="71">
        <v>0</v>
      </c>
      <c r="J59" s="92">
        <v>0</v>
      </c>
      <c r="K59" s="114">
        <v>0</v>
      </c>
    </row>
    <row r="60" spans="1:11" x14ac:dyDescent="0.2">
      <c r="A60" s="169" t="s">
        <v>320</v>
      </c>
      <c r="B60" s="169" t="s">
        <v>318</v>
      </c>
      <c r="C60" s="21" t="s">
        <v>143</v>
      </c>
      <c r="D60" s="42" t="s">
        <v>98</v>
      </c>
      <c r="E60" s="22"/>
      <c r="F60" s="22" t="s">
        <v>98</v>
      </c>
      <c r="G60" s="69">
        <v>0</v>
      </c>
      <c r="H60" s="90">
        <v>52</v>
      </c>
      <c r="I60" s="69">
        <v>0</v>
      </c>
      <c r="J60" s="90">
        <v>0</v>
      </c>
      <c r="K60" s="112">
        <v>0</v>
      </c>
    </row>
    <row r="61" spans="1:11" x14ac:dyDescent="0.2">
      <c r="A61" s="48"/>
      <c r="B61" s="48"/>
      <c r="C61" s="3" t="s">
        <v>141</v>
      </c>
      <c r="D61" s="39" t="s">
        <v>98</v>
      </c>
      <c r="E61" s="17"/>
      <c r="F61" s="17" t="s">
        <v>98</v>
      </c>
      <c r="G61" s="73">
        <v>0</v>
      </c>
      <c r="H61" s="93">
        <v>52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48"/>
      <c r="C62" s="3" t="s">
        <v>414</v>
      </c>
      <c r="D62" s="39" t="s">
        <v>98</v>
      </c>
      <c r="E62" s="17"/>
      <c r="F62" s="17"/>
      <c r="G62" s="73">
        <v>0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48"/>
      <c r="C63" s="3" t="s">
        <v>144</v>
      </c>
      <c r="D63" s="39" t="s">
        <v>98</v>
      </c>
      <c r="E63" s="17"/>
      <c r="F63" s="17" t="s">
        <v>98</v>
      </c>
      <c r="G63" s="73">
        <v>0</v>
      </c>
      <c r="H63" s="93">
        <v>52</v>
      </c>
      <c r="I63" s="73">
        <v>0</v>
      </c>
      <c r="J63" s="93">
        <v>0</v>
      </c>
      <c r="K63" s="115">
        <v>0</v>
      </c>
    </row>
    <row r="64" spans="1:11" x14ac:dyDescent="0.2">
      <c r="A64" s="48"/>
      <c r="B64" s="48"/>
      <c r="C64" s="3" t="s">
        <v>142</v>
      </c>
      <c r="D64" s="39" t="s">
        <v>98</v>
      </c>
      <c r="E64" s="17"/>
      <c r="F64" s="17" t="s">
        <v>98</v>
      </c>
      <c r="G64" s="73">
        <v>0</v>
      </c>
      <c r="H64" s="93">
        <v>52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48"/>
      <c r="C65" s="3" t="s">
        <v>415</v>
      </c>
      <c r="D65" s="39" t="s">
        <v>98</v>
      </c>
      <c r="E65" s="17"/>
      <c r="F65" s="17"/>
      <c r="G65" s="73">
        <v>0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48"/>
      <c r="C66" s="3" t="s">
        <v>145</v>
      </c>
      <c r="D66" s="39" t="s">
        <v>98</v>
      </c>
      <c r="E66" s="17"/>
      <c r="F66" s="17" t="s">
        <v>98</v>
      </c>
      <c r="G66" s="73">
        <v>0</v>
      </c>
      <c r="H66" s="93">
        <v>52</v>
      </c>
      <c r="I66" s="73">
        <v>0</v>
      </c>
      <c r="J66" s="93">
        <v>0</v>
      </c>
      <c r="K66" s="115">
        <v>0</v>
      </c>
    </row>
    <row r="67" spans="1:11" x14ac:dyDescent="0.2">
      <c r="A67" s="48"/>
      <c r="B67" s="48"/>
      <c r="C67" s="3" t="s">
        <v>146</v>
      </c>
      <c r="D67" s="39" t="s">
        <v>98</v>
      </c>
      <c r="E67" s="17"/>
      <c r="F67" s="17" t="s">
        <v>98</v>
      </c>
      <c r="G67" s="73">
        <v>0</v>
      </c>
      <c r="H67" s="93">
        <v>52</v>
      </c>
      <c r="I67" s="73">
        <v>0</v>
      </c>
      <c r="J67" s="93">
        <v>0</v>
      </c>
      <c r="K67" s="115">
        <v>0</v>
      </c>
    </row>
    <row r="68" spans="1:11" x14ac:dyDescent="0.2">
      <c r="A68" s="48"/>
      <c r="B68" s="48"/>
      <c r="C68" s="3" t="s">
        <v>418</v>
      </c>
      <c r="D68" s="39" t="s">
        <v>98</v>
      </c>
      <c r="E68" s="17"/>
      <c r="F68" s="17"/>
      <c r="G68" s="73">
        <v>0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48"/>
      <c r="B69" s="48"/>
      <c r="C69" s="3" t="s">
        <v>147</v>
      </c>
      <c r="D69" s="39" t="s">
        <v>98</v>
      </c>
      <c r="E69" s="17"/>
      <c r="F69" s="17" t="s">
        <v>98</v>
      </c>
      <c r="G69" s="73">
        <v>0</v>
      </c>
      <c r="H69" s="93">
        <v>52</v>
      </c>
      <c r="I69" s="73">
        <v>0</v>
      </c>
      <c r="J69" s="93">
        <v>0</v>
      </c>
      <c r="K69" s="115">
        <v>0</v>
      </c>
    </row>
    <row r="70" spans="1:11" x14ac:dyDescent="0.2">
      <c r="A70" s="48"/>
      <c r="B70" s="48"/>
      <c r="C70" s="3" t="s">
        <v>148</v>
      </c>
      <c r="D70" s="39" t="s">
        <v>98</v>
      </c>
      <c r="E70" s="17"/>
      <c r="F70" s="17" t="s">
        <v>98</v>
      </c>
      <c r="G70" s="73">
        <v>0</v>
      </c>
      <c r="H70" s="93">
        <v>52</v>
      </c>
      <c r="I70" s="73">
        <v>0</v>
      </c>
      <c r="J70" s="93">
        <v>0</v>
      </c>
      <c r="K70" s="115">
        <v>0</v>
      </c>
    </row>
    <row r="71" spans="1:11" x14ac:dyDescent="0.2">
      <c r="A71" s="48"/>
      <c r="B71" s="48"/>
      <c r="C71" s="3" t="s">
        <v>417</v>
      </c>
      <c r="D71" s="39" t="s">
        <v>98</v>
      </c>
      <c r="E71" s="18"/>
      <c r="F71" s="18"/>
      <c r="G71" s="145">
        <v>0</v>
      </c>
      <c r="H71" s="146">
        <v>0</v>
      </c>
      <c r="I71" s="145">
        <v>0</v>
      </c>
      <c r="J71" s="146">
        <v>0</v>
      </c>
      <c r="K71" s="147">
        <v>0</v>
      </c>
    </row>
    <row r="72" spans="1:11" ht="13.5" thickBot="1" x14ac:dyDescent="0.25">
      <c r="A72" s="48"/>
      <c r="B72" s="48"/>
      <c r="C72" s="30" t="s">
        <v>346</v>
      </c>
      <c r="D72" s="39" t="s">
        <v>98</v>
      </c>
      <c r="E72" s="31"/>
      <c r="F72" s="31"/>
      <c r="G72" s="71">
        <v>0</v>
      </c>
      <c r="H72" s="92">
        <v>0</v>
      </c>
      <c r="I72" s="71">
        <v>0</v>
      </c>
      <c r="J72" s="92">
        <v>0</v>
      </c>
      <c r="K72" s="114">
        <v>0</v>
      </c>
    </row>
    <row r="73" spans="1:11" x14ac:dyDescent="0.2">
      <c r="A73" s="165" t="s">
        <v>321</v>
      </c>
      <c r="B73" s="169" t="s">
        <v>318</v>
      </c>
      <c r="C73" s="21" t="s">
        <v>143</v>
      </c>
      <c r="D73" s="42" t="s">
        <v>112</v>
      </c>
      <c r="E73" s="22"/>
      <c r="F73" s="22" t="s">
        <v>29</v>
      </c>
      <c r="G73" s="74">
        <f>G60*G47*G8</f>
        <v>0</v>
      </c>
      <c r="H73" s="94">
        <f>H60*H47*H8</f>
        <v>49877.1</v>
      </c>
      <c r="I73" s="74">
        <f>I60*I47*I8</f>
        <v>0</v>
      </c>
      <c r="J73" s="94">
        <f>J60*J47*J8</f>
        <v>0</v>
      </c>
      <c r="K73" s="116">
        <f>K60*K47*K8</f>
        <v>0</v>
      </c>
    </row>
    <row r="74" spans="1:11" x14ac:dyDescent="0.2">
      <c r="A74" s="167"/>
      <c r="B74" s="48"/>
      <c r="C74" s="3" t="s">
        <v>141</v>
      </c>
      <c r="D74" s="39" t="s">
        <v>49</v>
      </c>
      <c r="E74" s="17"/>
      <c r="F74" s="17" t="s">
        <v>29</v>
      </c>
      <c r="G74" s="75">
        <f>G61*G48*G11</f>
        <v>0</v>
      </c>
      <c r="H74" s="95">
        <f>H61*H48*H11</f>
        <v>116116</v>
      </c>
      <c r="I74" s="75">
        <f>I61*I48*I11</f>
        <v>0</v>
      </c>
      <c r="J74" s="95">
        <f>J61*J48*J11</f>
        <v>0</v>
      </c>
      <c r="K74" s="117">
        <f>K61*K48*K11</f>
        <v>0</v>
      </c>
    </row>
    <row r="75" spans="1:11" x14ac:dyDescent="0.2">
      <c r="A75" s="167"/>
      <c r="B75" s="48"/>
      <c r="C75" s="3" t="s">
        <v>414</v>
      </c>
      <c r="D75" s="39" t="s">
        <v>110</v>
      </c>
      <c r="E75" s="17"/>
      <c r="F75" s="17"/>
      <c r="G75" s="75">
        <f>G62*G49*G6</f>
        <v>0</v>
      </c>
      <c r="H75" s="95">
        <f t="shared" ref="H75:K75" si="14">H62*H49*H6</f>
        <v>0</v>
      </c>
      <c r="I75" s="75">
        <f t="shared" si="14"/>
        <v>0</v>
      </c>
      <c r="J75" s="95">
        <f t="shared" si="14"/>
        <v>0</v>
      </c>
      <c r="K75" s="117">
        <f t="shared" si="14"/>
        <v>0</v>
      </c>
    </row>
    <row r="76" spans="1:11" x14ac:dyDescent="0.2">
      <c r="A76" s="167"/>
      <c r="B76" s="48"/>
      <c r="C76" s="3" t="s">
        <v>144</v>
      </c>
      <c r="D76" s="39" t="s">
        <v>112</v>
      </c>
      <c r="E76" s="17"/>
      <c r="F76" s="17" t="s">
        <v>29</v>
      </c>
      <c r="G76" s="75">
        <f>G63*G50*G8</f>
        <v>0</v>
      </c>
      <c r="H76" s="95">
        <f>H63*H50*H8</f>
        <v>49877.1</v>
      </c>
      <c r="I76" s="75">
        <f>I63*I50*I8</f>
        <v>0</v>
      </c>
      <c r="J76" s="95">
        <f>J63*J50*J8</f>
        <v>0</v>
      </c>
      <c r="K76" s="117">
        <f>K63*K50*K8</f>
        <v>0</v>
      </c>
    </row>
    <row r="77" spans="1:11" x14ac:dyDescent="0.2">
      <c r="A77" s="167"/>
      <c r="B77" s="48"/>
      <c r="C77" s="3" t="s">
        <v>142</v>
      </c>
      <c r="D77" s="39" t="s">
        <v>49</v>
      </c>
      <c r="E77" s="17"/>
      <c r="F77" s="17" t="s">
        <v>29</v>
      </c>
      <c r="G77" s="75">
        <f>G64*G51*G11</f>
        <v>0</v>
      </c>
      <c r="H77" s="95">
        <f>H64*H51*H11</f>
        <v>116116</v>
      </c>
      <c r="I77" s="75">
        <f>I64*I51*I11</f>
        <v>0</v>
      </c>
      <c r="J77" s="95">
        <f>J64*J51*J11</f>
        <v>0</v>
      </c>
      <c r="K77" s="117">
        <f>K64*K51*K11</f>
        <v>0</v>
      </c>
    </row>
    <row r="78" spans="1:11" x14ac:dyDescent="0.2">
      <c r="A78" s="167"/>
      <c r="B78" s="48"/>
      <c r="C78" s="3" t="s">
        <v>415</v>
      </c>
      <c r="D78" s="39" t="s">
        <v>110</v>
      </c>
      <c r="E78" s="17"/>
      <c r="F78" s="17"/>
      <c r="G78" s="75">
        <f>G65*G52*G6</f>
        <v>0</v>
      </c>
      <c r="H78" s="95">
        <f t="shared" ref="H78:K78" si="15">H65*H52*H6</f>
        <v>0</v>
      </c>
      <c r="I78" s="75">
        <f t="shared" si="15"/>
        <v>0</v>
      </c>
      <c r="J78" s="95">
        <f t="shared" si="15"/>
        <v>0</v>
      </c>
      <c r="K78" s="117">
        <f t="shared" si="15"/>
        <v>0</v>
      </c>
    </row>
    <row r="79" spans="1:11" x14ac:dyDescent="0.2">
      <c r="A79" s="167"/>
      <c r="B79" s="48"/>
      <c r="C79" s="3" t="s">
        <v>145</v>
      </c>
      <c r="D79" s="39" t="s">
        <v>112</v>
      </c>
      <c r="E79" s="17"/>
      <c r="F79" s="17" t="s">
        <v>29</v>
      </c>
      <c r="G79" s="75">
        <f>G66*G53*G8</f>
        <v>0</v>
      </c>
      <c r="H79" s="95">
        <f>H66*H53*H8</f>
        <v>49877.1</v>
      </c>
      <c r="I79" s="75">
        <f>I66*I53*I8</f>
        <v>0</v>
      </c>
      <c r="J79" s="95">
        <f>J66*J53*J8</f>
        <v>0</v>
      </c>
      <c r="K79" s="117">
        <f>K66*K53*K8</f>
        <v>0</v>
      </c>
    </row>
    <row r="80" spans="1:11" x14ac:dyDescent="0.2">
      <c r="A80" s="167"/>
      <c r="B80" s="48"/>
      <c r="C80" s="3" t="s">
        <v>146</v>
      </c>
      <c r="D80" s="39" t="s">
        <v>49</v>
      </c>
      <c r="E80" s="17"/>
      <c r="F80" s="17" t="s">
        <v>29</v>
      </c>
      <c r="G80" s="75">
        <f>G67*G54*G11</f>
        <v>0</v>
      </c>
      <c r="H80" s="95">
        <f>H67*H54*H11</f>
        <v>116116</v>
      </c>
      <c r="I80" s="75">
        <f>I67*I54*I11</f>
        <v>0</v>
      </c>
      <c r="J80" s="95">
        <f>J67*J54*J11</f>
        <v>0</v>
      </c>
      <c r="K80" s="117">
        <f>K67*K54*K11</f>
        <v>0</v>
      </c>
    </row>
    <row r="81" spans="1:11" x14ac:dyDescent="0.2">
      <c r="A81" s="167"/>
      <c r="B81" s="48"/>
      <c r="C81" s="3" t="s">
        <v>418</v>
      </c>
      <c r="D81" s="39" t="s">
        <v>110</v>
      </c>
      <c r="E81" s="17"/>
      <c r="F81" s="17"/>
      <c r="G81" s="75">
        <f>G68*G55*G6</f>
        <v>0</v>
      </c>
      <c r="H81" s="95">
        <f t="shared" ref="H81:K81" si="16">H68*H55*H6</f>
        <v>0</v>
      </c>
      <c r="I81" s="75">
        <f t="shared" si="16"/>
        <v>0</v>
      </c>
      <c r="J81" s="95">
        <f t="shared" si="16"/>
        <v>0</v>
      </c>
      <c r="K81" s="117">
        <f t="shared" si="16"/>
        <v>0</v>
      </c>
    </row>
    <row r="82" spans="1:11" x14ac:dyDescent="0.2">
      <c r="A82" s="167"/>
      <c r="B82" s="48"/>
      <c r="C82" s="3" t="s">
        <v>147</v>
      </c>
      <c r="D82" s="39" t="s">
        <v>112</v>
      </c>
      <c r="E82" s="17"/>
      <c r="F82" s="17" t="s">
        <v>29</v>
      </c>
      <c r="G82" s="75">
        <f>G69*G56*G8</f>
        <v>0</v>
      </c>
      <c r="H82" s="95">
        <f>H69*H56*H8</f>
        <v>49877.1</v>
      </c>
      <c r="I82" s="75">
        <f>I69*I56*I8</f>
        <v>0</v>
      </c>
      <c r="J82" s="95">
        <f>J69*J56*J8</f>
        <v>0</v>
      </c>
      <c r="K82" s="117">
        <f>K69*K56*K8</f>
        <v>0</v>
      </c>
    </row>
    <row r="83" spans="1:11" x14ac:dyDescent="0.2">
      <c r="A83" s="167"/>
      <c r="B83" s="48"/>
      <c r="C83" s="3" t="s">
        <v>148</v>
      </c>
      <c r="D83" s="39" t="s">
        <v>49</v>
      </c>
      <c r="E83" s="17"/>
      <c r="F83" s="17" t="s">
        <v>29</v>
      </c>
      <c r="G83" s="75">
        <f>G70*G57*G11</f>
        <v>0</v>
      </c>
      <c r="H83" s="95">
        <f>H70*H57*H11</f>
        <v>116116</v>
      </c>
      <c r="I83" s="75">
        <f>I70*I57*I11</f>
        <v>0</v>
      </c>
      <c r="J83" s="95">
        <f>J70*J57*J11</f>
        <v>0</v>
      </c>
      <c r="K83" s="117">
        <f>K70*K57*K11</f>
        <v>0</v>
      </c>
    </row>
    <row r="84" spans="1:11" x14ac:dyDescent="0.2">
      <c r="A84" s="167"/>
      <c r="B84" s="48"/>
      <c r="C84" s="3" t="s">
        <v>417</v>
      </c>
      <c r="D84" s="39" t="s">
        <v>110</v>
      </c>
      <c r="E84" s="17"/>
      <c r="F84" s="17"/>
      <c r="G84" s="75">
        <f>G71*G58*G6</f>
        <v>0</v>
      </c>
      <c r="H84" s="95">
        <f t="shared" ref="H84:K84" si="17">H71*H58*H6</f>
        <v>0</v>
      </c>
      <c r="I84" s="75">
        <f t="shared" si="17"/>
        <v>0</v>
      </c>
      <c r="J84" s="95">
        <f t="shared" si="17"/>
        <v>0</v>
      </c>
      <c r="K84" s="117">
        <f t="shared" si="17"/>
        <v>0</v>
      </c>
    </row>
    <row r="85" spans="1:11" x14ac:dyDescent="0.2">
      <c r="A85" s="167"/>
      <c r="B85" s="48"/>
      <c r="C85" s="3" t="s">
        <v>346</v>
      </c>
      <c r="D85" s="39" t="s">
        <v>112</v>
      </c>
      <c r="E85" s="17"/>
      <c r="F85" s="17"/>
      <c r="G85" s="75">
        <f>G72*G59*G8</f>
        <v>0</v>
      </c>
      <c r="H85" s="95">
        <f t="shared" ref="H85:K85" si="18">H72*H59*H8</f>
        <v>0</v>
      </c>
      <c r="I85" s="75">
        <f t="shared" si="18"/>
        <v>0</v>
      </c>
      <c r="J85" s="95">
        <f t="shared" si="18"/>
        <v>0</v>
      </c>
      <c r="K85" s="117">
        <f t="shared" si="18"/>
        <v>0</v>
      </c>
    </row>
    <row r="86" spans="1:11" x14ac:dyDescent="0.2">
      <c r="A86" s="167"/>
      <c r="B86" s="48"/>
      <c r="C86" s="3" t="s">
        <v>150</v>
      </c>
      <c r="D86" s="39" t="s">
        <v>98</v>
      </c>
      <c r="E86" s="17"/>
      <c r="F86" s="17" t="s">
        <v>98</v>
      </c>
      <c r="G86" s="75">
        <f>SUM(G73:G75)</f>
        <v>0</v>
      </c>
      <c r="H86" s="95">
        <f t="shared" ref="H86:K86" si="19">SUM(H73:H74)</f>
        <v>165993.1</v>
      </c>
      <c r="I86" s="75">
        <f t="shared" si="19"/>
        <v>0</v>
      </c>
      <c r="J86" s="95">
        <f t="shared" si="19"/>
        <v>0</v>
      </c>
      <c r="K86" s="117">
        <f t="shared" si="19"/>
        <v>0</v>
      </c>
    </row>
    <row r="87" spans="1:11" x14ac:dyDescent="0.2">
      <c r="A87" s="167"/>
      <c r="B87" s="48"/>
      <c r="C87" s="3" t="s">
        <v>140</v>
      </c>
      <c r="D87" s="39" t="s">
        <v>98</v>
      </c>
      <c r="E87" s="17"/>
      <c r="F87" s="17" t="s">
        <v>98</v>
      </c>
      <c r="G87" s="75">
        <f>SUM(G76:G78)</f>
        <v>0</v>
      </c>
      <c r="H87" s="95">
        <f t="shared" ref="H87:K87" si="20">SUM(H76:H77)</f>
        <v>165993.1</v>
      </c>
      <c r="I87" s="75">
        <f t="shared" si="20"/>
        <v>0</v>
      </c>
      <c r="J87" s="95">
        <f t="shared" si="20"/>
        <v>0</v>
      </c>
      <c r="K87" s="117">
        <f t="shared" si="20"/>
        <v>0</v>
      </c>
    </row>
    <row r="88" spans="1:11" x14ac:dyDescent="0.2">
      <c r="A88" s="167"/>
      <c r="B88" s="48"/>
      <c r="C88" s="3" t="s">
        <v>151</v>
      </c>
      <c r="D88" s="39" t="s">
        <v>98</v>
      </c>
      <c r="E88" s="17"/>
      <c r="F88" s="17" t="s">
        <v>98</v>
      </c>
      <c r="G88" s="75">
        <f>SUM(G79:G81)</f>
        <v>0</v>
      </c>
      <c r="H88" s="95">
        <f t="shared" ref="H88:K88" si="21">SUM(H79:H80)</f>
        <v>165993.1</v>
      </c>
      <c r="I88" s="75">
        <f t="shared" si="21"/>
        <v>0</v>
      </c>
      <c r="J88" s="95">
        <f t="shared" si="21"/>
        <v>0</v>
      </c>
      <c r="K88" s="117">
        <f t="shared" si="21"/>
        <v>0</v>
      </c>
    </row>
    <row r="89" spans="1:11" x14ac:dyDescent="0.2">
      <c r="A89" s="167"/>
      <c r="B89" s="48"/>
      <c r="C89" s="3" t="s">
        <v>152</v>
      </c>
      <c r="D89" s="39" t="s">
        <v>98</v>
      </c>
      <c r="E89" s="17"/>
      <c r="F89" s="17" t="s">
        <v>98</v>
      </c>
      <c r="G89" s="75">
        <f>SUM(G82:G84)</f>
        <v>0</v>
      </c>
      <c r="H89" s="95">
        <f t="shared" ref="H89:K89" si="22">SUM(H82:H83)</f>
        <v>165993.1</v>
      </c>
      <c r="I89" s="75">
        <f t="shared" si="22"/>
        <v>0</v>
      </c>
      <c r="J89" s="95">
        <f t="shared" si="22"/>
        <v>0</v>
      </c>
      <c r="K89" s="117">
        <f t="shared" si="22"/>
        <v>0</v>
      </c>
    </row>
    <row r="90" spans="1:11" x14ac:dyDescent="0.2">
      <c r="A90" s="167"/>
      <c r="B90" s="48"/>
      <c r="C90" s="11" t="s">
        <v>346</v>
      </c>
      <c r="D90" s="44" t="s">
        <v>98</v>
      </c>
      <c r="E90" s="18"/>
      <c r="F90" s="18"/>
      <c r="G90" s="76">
        <f>SUM(G85)</f>
        <v>0</v>
      </c>
      <c r="H90" s="96">
        <f t="shared" ref="H90:K90" si="23">SUM(H85)</f>
        <v>0</v>
      </c>
      <c r="I90" s="76">
        <f t="shared" si="23"/>
        <v>0</v>
      </c>
      <c r="J90" s="96">
        <f t="shared" si="23"/>
        <v>0</v>
      </c>
      <c r="K90" s="117">
        <f t="shared" si="23"/>
        <v>0</v>
      </c>
    </row>
    <row r="91" spans="1:11" s="50" customFormat="1" ht="13.5" thickBot="1" x14ac:dyDescent="0.25">
      <c r="A91" s="150"/>
      <c r="B91" s="49"/>
      <c r="C91" s="52" t="s">
        <v>48</v>
      </c>
      <c r="D91" s="53" t="s">
        <v>98</v>
      </c>
      <c r="E91" s="54"/>
      <c r="F91" s="54" t="s">
        <v>98</v>
      </c>
      <c r="G91" s="55">
        <f>SUM(G86:G90)</f>
        <v>0</v>
      </c>
      <c r="H91" s="55">
        <f t="shared" ref="H91:K91" si="24">SUM(H86:H90)</f>
        <v>663972.4</v>
      </c>
      <c r="I91" s="55">
        <f t="shared" si="24"/>
        <v>0</v>
      </c>
      <c r="J91" s="55">
        <f t="shared" si="24"/>
        <v>0</v>
      </c>
      <c r="K91" s="56">
        <f t="shared" si="24"/>
        <v>0</v>
      </c>
    </row>
    <row r="92" spans="1:11" x14ac:dyDescent="0.2">
      <c r="B92" s="169" t="s">
        <v>322</v>
      </c>
      <c r="C92" s="21" t="s">
        <v>42</v>
      </c>
      <c r="D92" s="38" t="s">
        <v>304</v>
      </c>
      <c r="E92" s="22"/>
      <c r="F92" s="22" t="s">
        <v>29</v>
      </c>
      <c r="G92" s="77">
        <v>0</v>
      </c>
      <c r="H92" s="97">
        <v>0</v>
      </c>
      <c r="I92" s="77">
        <v>0</v>
      </c>
      <c r="J92" s="97">
        <v>0</v>
      </c>
      <c r="K92" s="124">
        <v>0</v>
      </c>
    </row>
    <row r="93" spans="1:11" x14ac:dyDescent="0.2">
      <c r="B93" s="48"/>
      <c r="C93" s="3" t="s">
        <v>44</v>
      </c>
      <c r="D93" s="39" t="s">
        <v>303</v>
      </c>
      <c r="E93" s="17"/>
      <c r="F93" s="17" t="s">
        <v>29</v>
      </c>
      <c r="G93" s="78">
        <f>(G41*(G17+G18))+(G42*G16)+(G43*(G17+G18))+(G44*G16)+(G45*G17)+(G46*G16)</f>
        <v>0</v>
      </c>
      <c r="H93" s="98">
        <f ca="1">(H41*(H17+H18))+(H42*H16)+(H43*(H17+H18))+(H44*H16)+(H45*H17)+(H46*H16)</f>
        <v>41675.899999999994</v>
      </c>
      <c r="I93" s="78">
        <f ca="1">(I41*(I17+I18))+(I42*I16)+(I43*(I17+I18))+(I44*I16)+(I45*I17)+(I46*I16)</f>
        <v>0</v>
      </c>
      <c r="J93" s="98">
        <f ca="1">(J41*(J17+J18))+(J42*J16)+(J43*(J17+J18))+(J44*J16)+(J45*J17)+(J46*J16)</f>
        <v>0</v>
      </c>
      <c r="K93" s="118">
        <f ca="1">(K41*(K17+K18))+(K42*K16)+(K43*(K17+K18))+(K44*K16)+(K45*K17)+(K46*K16)</f>
        <v>0</v>
      </c>
    </row>
    <row r="94" spans="1:11" x14ac:dyDescent="0.2">
      <c r="B94" s="48"/>
      <c r="C94" s="14" t="s">
        <v>45</v>
      </c>
      <c r="D94" s="149" t="s">
        <v>304</v>
      </c>
      <c r="E94" s="25"/>
      <c r="F94" s="25" t="s">
        <v>29</v>
      </c>
      <c r="G94" s="78">
        <v>0</v>
      </c>
      <c r="H94" s="98">
        <v>0</v>
      </c>
      <c r="I94" s="78">
        <v>0</v>
      </c>
      <c r="J94" s="98">
        <v>0</v>
      </c>
      <c r="K94" s="118">
        <v>0</v>
      </c>
    </row>
    <row r="95" spans="1:11" x14ac:dyDescent="0.2">
      <c r="B95" s="48"/>
      <c r="C95" s="14" t="s">
        <v>46</v>
      </c>
      <c r="D95" s="149" t="s">
        <v>304</v>
      </c>
      <c r="E95" s="25"/>
      <c r="F95" s="25" t="s">
        <v>29</v>
      </c>
      <c r="G95" s="78">
        <v>0</v>
      </c>
      <c r="H95" s="98">
        <v>0</v>
      </c>
      <c r="I95" s="78">
        <v>0</v>
      </c>
      <c r="J95" s="98">
        <v>0</v>
      </c>
      <c r="K95" s="118">
        <v>0</v>
      </c>
    </row>
    <row r="96" spans="1:11" x14ac:dyDescent="0.2">
      <c r="B96" s="48"/>
      <c r="C96" s="151" t="s">
        <v>47</v>
      </c>
      <c r="D96" s="148" t="s">
        <v>304</v>
      </c>
      <c r="E96" s="152"/>
      <c r="F96" s="25" t="s">
        <v>29</v>
      </c>
      <c r="G96" s="79">
        <v>0</v>
      </c>
      <c r="H96" s="100">
        <v>0</v>
      </c>
      <c r="I96" s="79">
        <v>0</v>
      </c>
      <c r="J96" s="100">
        <v>0</v>
      </c>
      <c r="K96" s="119">
        <v>0</v>
      </c>
    </row>
    <row r="97" spans="2:17" s="50" customFormat="1" ht="13.5" thickBot="1" x14ac:dyDescent="0.25">
      <c r="B97" s="51"/>
      <c r="C97" s="52" t="s">
        <v>48</v>
      </c>
      <c r="D97" s="57" t="s">
        <v>98</v>
      </c>
      <c r="E97" s="54"/>
      <c r="F97" s="54" t="s">
        <v>98</v>
      </c>
      <c r="G97" s="61">
        <f>SUM(G92:G96)</f>
        <v>0</v>
      </c>
      <c r="H97" s="61">
        <f ca="1">SUM(H92:H96)</f>
        <v>41675.899999999994</v>
      </c>
      <c r="I97" s="61">
        <f ca="1">SUM(I92:I96)</f>
        <v>0</v>
      </c>
      <c r="J97" s="61">
        <f ca="1">SUM(J92:J96)</f>
        <v>0</v>
      </c>
      <c r="K97" s="62">
        <f ca="1">SUM(K92:K96)</f>
        <v>0</v>
      </c>
    </row>
    <row r="98" spans="2:17" x14ac:dyDescent="0.2">
      <c r="B98" s="169" t="s">
        <v>323</v>
      </c>
      <c r="C98" s="35" t="s">
        <v>50</v>
      </c>
      <c r="D98" s="42" t="s">
        <v>96</v>
      </c>
      <c r="E98" s="22"/>
      <c r="F98" s="22" t="s">
        <v>29</v>
      </c>
      <c r="G98" s="80">
        <v>0</v>
      </c>
      <c r="H98" s="99">
        <v>0</v>
      </c>
      <c r="I98" s="80">
        <v>0</v>
      </c>
      <c r="J98" s="99">
        <v>0</v>
      </c>
      <c r="K98" s="125">
        <v>0</v>
      </c>
    </row>
    <row r="99" spans="2:17" x14ac:dyDescent="0.2">
      <c r="B99" s="48"/>
      <c r="C99" s="14" t="s">
        <v>76</v>
      </c>
      <c r="D99" s="39" t="s">
        <v>96</v>
      </c>
      <c r="E99" s="17"/>
      <c r="F99" s="17" t="s">
        <v>29</v>
      </c>
      <c r="G99" s="78">
        <v>0</v>
      </c>
      <c r="H99" s="98">
        <v>0</v>
      </c>
      <c r="I99" s="78">
        <v>0</v>
      </c>
      <c r="J99" s="98">
        <v>0</v>
      </c>
      <c r="K99" s="118">
        <v>0</v>
      </c>
    </row>
    <row r="100" spans="2:17" x14ac:dyDescent="0.2">
      <c r="B100" s="48"/>
      <c r="C100" s="14" t="s">
        <v>51</v>
      </c>
      <c r="D100" s="39" t="s">
        <v>96</v>
      </c>
      <c r="E100" s="17"/>
      <c r="F100" s="17" t="s">
        <v>29</v>
      </c>
      <c r="G100" s="78">
        <v>0</v>
      </c>
      <c r="H100" s="98">
        <v>0</v>
      </c>
      <c r="I100" s="78">
        <v>0</v>
      </c>
      <c r="J100" s="98">
        <v>0</v>
      </c>
      <c r="K100" s="118">
        <v>0</v>
      </c>
    </row>
    <row r="101" spans="2:17" x14ac:dyDescent="0.2">
      <c r="B101" s="48"/>
      <c r="C101" s="14" t="s">
        <v>52</v>
      </c>
      <c r="D101" s="39" t="s">
        <v>96</v>
      </c>
      <c r="E101" s="17"/>
      <c r="F101" s="17" t="s">
        <v>29</v>
      </c>
      <c r="G101" s="78">
        <v>0</v>
      </c>
      <c r="H101" s="98">
        <f>$G$94*0.2</f>
        <v>0</v>
      </c>
      <c r="I101" s="78">
        <f t="shared" ref="I101:K101" si="25">$G$94*0.2</f>
        <v>0</v>
      </c>
      <c r="J101" s="98">
        <f t="shared" si="25"/>
        <v>0</v>
      </c>
      <c r="K101" s="118">
        <f t="shared" si="25"/>
        <v>0</v>
      </c>
    </row>
    <row r="102" spans="2:17" s="50" customFormat="1" ht="13.5" thickBot="1" x14ac:dyDescent="0.25">
      <c r="B102" s="51"/>
      <c r="C102" s="52" t="s">
        <v>48</v>
      </c>
      <c r="D102" s="53" t="s">
        <v>98</v>
      </c>
      <c r="E102" s="54"/>
      <c r="F102" s="54" t="s">
        <v>98</v>
      </c>
      <c r="G102" s="61">
        <f>SUM(G98:G101)</f>
        <v>0</v>
      </c>
      <c r="H102" s="61">
        <f>SUM(H98:H101)</f>
        <v>0</v>
      </c>
      <c r="I102" s="61">
        <f>SUM(I98:I101)</f>
        <v>0</v>
      </c>
      <c r="J102" s="61">
        <f>SUM(J98:J101)</f>
        <v>0</v>
      </c>
      <c r="K102" s="62">
        <f>SUM(K98:K101)</f>
        <v>0</v>
      </c>
    </row>
    <row r="104" spans="2:17" ht="13.5" thickBot="1" x14ac:dyDescent="0.25"/>
    <row r="105" spans="2:17" s="50" customFormat="1" x14ac:dyDescent="0.2">
      <c r="C105" s="126" t="s">
        <v>120</v>
      </c>
      <c r="D105" s="127"/>
      <c r="E105" s="128"/>
      <c r="F105" s="129"/>
      <c r="G105" s="134">
        <f>SUM(G91+G97+G102)</f>
        <v>0</v>
      </c>
      <c r="H105" s="134">
        <f ca="1">SUM(H91+H97+H102)</f>
        <v>705648.3</v>
      </c>
      <c r="I105" s="134">
        <f ca="1">SUM(I91+I97+I102)</f>
        <v>0</v>
      </c>
      <c r="J105" s="134">
        <f ca="1">SUM(J91+J97+J102)</f>
        <v>0</v>
      </c>
      <c r="K105" s="134">
        <f ca="1">SUM(K91+K97+K102)</f>
        <v>0</v>
      </c>
      <c r="M105" s="1"/>
      <c r="N105" s="1"/>
      <c r="O105" s="1"/>
      <c r="P105" s="1"/>
      <c r="Q105" s="1"/>
    </row>
    <row r="106" spans="2:17" ht="13.5" thickBot="1" x14ac:dyDescent="0.25">
      <c r="C106" s="130" t="s">
        <v>121</v>
      </c>
      <c r="D106" s="131"/>
      <c r="E106" s="132"/>
      <c r="F106" s="133"/>
      <c r="G106" s="136">
        <f>G105</f>
        <v>0</v>
      </c>
      <c r="H106" s="136">
        <f ca="1">G106+H105</f>
        <v>705648.3</v>
      </c>
      <c r="I106" s="136">
        <f ca="1">H106+I105</f>
        <v>705648.3</v>
      </c>
      <c r="J106" s="136">
        <f ca="1">I106+J105</f>
        <v>705648.3</v>
      </c>
      <c r="K106" s="137">
        <f ca="1">J106+K105</f>
        <v>705648.3</v>
      </c>
    </row>
    <row r="107" spans="2:17" x14ac:dyDescent="0.2">
      <c r="C107" s="32" t="s">
        <v>110</v>
      </c>
      <c r="D107" s="40"/>
      <c r="E107" s="19"/>
      <c r="F107" s="19"/>
      <c r="G107" s="82">
        <f t="shared" ref="G107:K113" si="26">SUMIF($D$3:$D$102,$C107,G$3:G$102)</f>
        <v>0</v>
      </c>
      <c r="H107" s="102">
        <f t="shared" si="26"/>
        <v>0</v>
      </c>
      <c r="I107" s="82">
        <f t="shared" si="26"/>
        <v>0</v>
      </c>
      <c r="J107" s="102">
        <f t="shared" si="26"/>
        <v>0</v>
      </c>
      <c r="K107" s="121">
        <f t="shared" si="26"/>
        <v>0</v>
      </c>
    </row>
    <row r="108" spans="2:17" x14ac:dyDescent="0.2">
      <c r="C108" s="59" t="s">
        <v>111</v>
      </c>
      <c r="D108" s="39"/>
      <c r="E108" s="17"/>
      <c r="F108" s="17"/>
      <c r="G108" s="82">
        <f t="shared" si="26"/>
        <v>0</v>
      </c>
      <c r="H108" s="102">
        <f t="shared" si="26"/>
        <v>0</v>
      </c>
      <c r="I108" s="82">
        <f t="shared" si="26"/>
        <v>0</v>
      </c>
      <c r="J108" s="102">
        <f t="shared" si="26"/>
        <v>0</v>
      </c>
      <c r="K108" s="121">
        <f t="shared" si="26"/>
        <v>0</v>
      </c>
    </row>
    <row r="109" spans="2:17" x14ac:dyDescent="0.2">
      <c r="C109" s="59" t="s">
        <v>112</v>
      </c>
      <c r="D109" s="39"/>
      <c r="E109" s="17"/>
      <c r="F109" s="17"/>
      <c r="G109" s="82">
        <f t="shared" si="26"/>
        <v>0</v>
      </c>
      <c r="H109" s="102">
        <f t="shared" si="26"/>
        <v>199508.4</v>
      </c>
      <c r="I109" s="82">
        <f t="shared" si="26"/>
        <v>0</v>
      </c>
      <c r="J109" s="102">
        <f t="shared" si="26"/>
        <v>0</v>
      </c>
      <c r="K109" s="121">
        <f t="shared" si="26"/>
        <v>0</v>
      </c>
    </row>
    <row r="110" spans="2:17" x14ac:dyDescent="0.2">
      <c r="C110" s="59" t="s">
        <v>113</v>
      </c>
      <c r="D110" s="39"/>
      <c r="E110" s="17"/>
      <c r="F110" s="17"/>
      <c r="G110" s="82">
        <f t="shared" si="26"/>
        <v>0</v>
      </c>
      <c r="H110" s="102">
        <f t="shared" si="26"/>
        <v>0</v>
      </c>
      <c r="I110" s="82">
        <f t="shared" si="26"/>
        <v>0</v>
      </c>
      <c r="J110" s="102">
        <f t="shared" si="26"/>
        <v>0</v>
      </c>
      <c r="K110" s="121">
        <f t="shared" si="26"/>
        <v>0</v>
      </c>
    </row>
    <row r="111" spans="2:17" x14ac:dyDescent="0.2">
      <c r="C111" s="59" t="s">
        <v>49</v>
      </c>
      <c r="D111" s="39"/>
      <c r="E111" s="17"/>
      <c r="F111" s="17"/>
      <c r="G111" s="82">
        <f t="shared" si="26"/>
        <v>0</v>
      </c>
      <c r="H111" s="102">
        <f t="shared" si="26"/>
        <v>464464</v>
      </c>
      <c r="I111" s="82">
        <f t="shared" si="26"/>
        <v>0</v>
      </c>
      <c r="J111" s="102">
        <f t="shared" si="26"/>
        <v>0</v>
      </c>
      <c r="K111" s="121">
        <f t="shared" si="26"/>
        <v>0</v>
      </c>
    </row>
    <row r="112" spans="2:17" x14ac:dyDescent="0.2">
      <c r="C112" s="59" t="s">
        <v>303</v>
      </c>
      <c r="D112" s="39"/>
      <c r="E112" s="17"/>
      <c r="F112" s="17"/>
      <c r="G112" s="82">
        <f t="shared" si="26"/>
        <v>0</v>
      </c>
      <c r="H112" s="102">
        <f t="shared" ca="1" si="26"/>
        <v>41675.899999999994</v>
      </c>
      <c r="I112" s="82">
        <f t="shared" ca="1" si="26"/>
        <v>0</v>
      </c>
      <c r="J112" s="102">
        <f t="shared" ca="1" si="26"/>
        <v>0</v>
      </c>
      <c r="K112" s="121">
        <f t="shared" ca="1" si="26"/>
        <v>0</v>
      </c>
    </row>
    <row r="113" spans="3:11" x14ac:dyDescent="0.2">
      <c r="C113" s="59" t="s">
        <v>304</v>
      </c>
      <c r="D113" s="39"/>
      <c r="E113" s="17"/>
      <c r="F113" s="17"/>
      <c r="G113" s="82">
        <f t="shared" si="26"/>
        <v>0</v>
      </c>
      <c r="H113" s="102">
        <f t="shared" si="26"/>
        <v>0</v>
      </c>
      <c r="I113" s="82">
        <f t="shared" si="26"/>
        <v>0</v>
      </c>
      <c r="J113" s="102">
        <f t="shared" si="26"/>
        <v>0</v>
      </c>
      <c r="K113" s="121">
        <f t="shared" si="26"/>
        <v>0</v>
      </c>
    </row>
    <row r="114" spans="3:11" s="50" customFormat="1" x14ac:dyDescent="0.2">
      <c r="C114" s="159" t="s">
        <v>53</v>
      </c>
      <c r="D114" s="160"/>
      <c r="E114" s="161"/>
      <c r="F114" s="161"/>
      <c r="G114" s="162">
        <f>SUM(G107:G113)</f>
        <v>0</v>
      </c>
      <c r="H114" s="163">
        <f t="shared" ref="H114:K114" ca="1" si="27">SUM(H107:H113)</f>
        <v>705648.3</v>
      </c>
      <c r="I114" s="162">
        <f t="shared" ca="1" si="27"/>
        <v>0</v>
      </c>
      <c r="J114" s="163">
        <f t="shared" ca="1" si="27"/>
        <v>0</v>
      </c>
      <c r="K114" s="164">
        <f t="shared" ca="1" si="27"/>
        <v>0</v>
      </c>
    </row>
    <row r="115" spans="3:11" ht="13.5" thickBot="1" x14ac:dyDescent="0.25">
      <c r="C115" s="33" t="s">
        <v>96</v>
      </c>
      <c r="D115" s="41"/>
      <c r="E115" s="31"/>
      <c r="F115" s="31"/>
      <c r="G115" s="81">
        <f>SUMIF($D$3:$D$102,$C115,G$3:G$102)</f>
        <v>0</v>
      </c>
      <c r="H115" s="101">
        <f>SUMIF($D$3:$D$102,$C115,H$3:H$102)</f>
        <v>0</v>
      </c>
      <c r="I115" s="81">
        <f>SUMIF($D$3:$D$102,$C115,I$3:I$102)</f>
        <v>0</v>
      </c>
      <c r="J115" s="101">
        <f>SUMIF($D$3:$D$102,$C115,J$3:J$102)</f>
        <v>0</v>
      </c>
      <c r="K115" s="120">
        <f>SUMIF($D$3:$D$102,$C115,K$3:K$102)</f>
        <v>0</v>
      </c>
    </row>
    <row r="117" spans="3:11" ht="13.5" thickBot="1" x14ac:dyDescent="0.25"/>
    <row r="118" spans="3:11" x14ac:dyDescent="0.2">
      <c r="C118" s="58" t="s">
        <v>114</v>
      </c>
      <c r="D118" s="42"/>
      <c r="E118" s="22"/>
      <c r="F118" s="22"/>
      <c r="G118" s="63"/>
      <c r="H118" s="63"/>
      <c r="I118" s="63"/>
      <c r="J118" s="63"/>
      <c r="K118" s="64"/>
    </row>
    <row r="119" spans="3:11" x14ac:dyDescent="0.2">
      <c r="C119" s="59" t="s">
        <v>54</v>
      </c>
      <c r="D119" s="39"/>
      <c r="E119" s="17"/>
      <c r="F119" s="17"/>
      <c r="G119" s="83">
        <f>G$105/((1+0.03)^G$2)</f>
        <v>0</v>
      </c>
      <c r="H119" s="103">
        <f ca="1">H$105/((1+0.03)^H$2)</f>
        <v>665141.20086718828</v>
      </c>
      <c r="I119" s="83">
        <f ca="1">I$105/((1+0.03)^I$2)</f>
        <v>0</v>
      </c>
      <c r="J119" s="103">
        <f ca="1">J$105/((1+0.03)^J$2)</f>
        <v>0</v>
      </c>
      <c r="K119" s="122">
        <f ca="1">K$105/((1+0.03)^K$2)</f>
        <v>0</v>
      </c>
    </row>
    <row r="120" spans="3:11" x14ac:dyDescent="0.2">
      <c r="C120" s="59" t="s">
        <v>55</v>
      </c>
      <c r="D120" s="39"/>
      <c r="E120" s="17"/>
      <c r="F120" s="17"/>
      <c r="G120" s="83">
        <f>G$105/((1+0.05)^G$2)</f>
        <v>0</v>
      </c>
      <c r="H120" s="103">
        <f ca="1">H$105/((1+0.05)^H$2)</f>
        <v>640043.80952380958</v>
      </c>
      <c r="I120" s="83">
        <f ca="1">I$105/((1+0.05)^I$2)</f>
        <v>0</v>
      </c>
      <c r="J120" s="103">
        <f ca="1">J$105/((1+0.05)^J$2)</f>
        <v>0</v>
      </c>
      <c r="K120" s="122">
        <f ca="1">K$105/((1+0.05)^K$2)</f>
        <v>0</v>
      </c>
    </row>
    <row r="121" spans="3:11" x14ac:dyDescent="0.2">
      <c r="C121" s="59" t="s">
        <v>56</v>
      </c>
      <c r="D121" s="39"/>
      <c r="E121" s="17"/>
      <c r="F121" s="17"/>
      <c r="G121" s="83">
        <f>G$105/((1+0.08)^G$2)</f>
        <v>0</v>
      </c>
      <c r="H121" s="103">
        <f ca="1">H$105/((1+0.08)^H$2)</f>
        <v>604979.68106995884</v>
      </c>
      <c r="I121" s="83">
        <f ca="1">I$105/((1+0.08)^I$2)</f>
        <v>0</v>
      </c>
      <c r="J121" s="103">
        <f ca="1">J$105/((1+0.08)^J$2)</f>
        <v>0</v>
      </c>
      <c r="K121" s="122">
        <f ca="1">K$105/((1+0.08)^K$2)</f>
        <v>0</v>
      </c>
    </row>
    <row r="122" spans="3:11" x14ac:dyDescent="0.2">
      <c r="C122" s="59" t="s">
        <v>57</v>
      </c>
      <c r="D122" s="39"/>
      <c r="E122" s="17"/>
      <c r="F122" s="17"/>
      <c r="G122" s="83">
        <f>G$105/((1+0.1)^G$2)</f>
        <v>0</v>
      </c>
      <c r="H122" s="103">
        <f ca="1">H$105/((1+0.1)^H$2)</f>
        <v>583180.41322314041</v>
      </c>
      <c r="I122" s="83">
        <f ca="1">I$105/((1+0.1)^I$2)</f>
        <v>0</v>
      </c>
      <c r="J122" s="103">
        <f ca="1">J$105/((1+0.1)^J$2)</f>
        <v>0</v>
      </c>
      <c r="K122" s="122">
        <f ca="1">K$105/((1+0.1)^K$2)</f>
        <v>0</v>
      </c>
    </row>
    <row r="123" spans="3:11" ht="13.5" thickBot="1" x14ac:dyDescent="0.25">
      <c r="C123" s="33" t="s">
        <v>58</v>
      </c>
      <c r="D123" s="41"/>
      <c r="E123" s="31"/>
      <c r="F123" s="31"/>
      <c r="G123" s="84">
        <f>G$105/((1+0.12)^G$2)</f>
        <v>0</v>
      </c>
      <c r="H123" s="104">
        <f ca="1">H$105/((1+0.12)^H$2)</f>
        <v>562538.50446428568</v>
      </c>
      <c r="I123" s="84">
        <f ca="1">I$105/((1+0.12)^I$2)</f>
        <v>0</v>
      </c>
      <c r="J123" s="104">
        <f ca="1">J$105/((1+0.12)^J$2)</f>
        <v>0</v>
      </c>
      <c r="K123" s="123">
        <f ca="1">K$105/((1+0.12)^K$2)</f>
        <v>0</v>
      </c>
    </row>
  </sheetData>
  <pageMargins left="0.7" right="0.7" top="0.75" bottom="0.75" header="0.3" footer="0.3"/>
  <pageSetup scale="44" fitToHeight="0" orientation="landscape" r:id="rId1"/>
  <ignoredErrors>
    <ignoredError sqref="H41:K41 G42" formulaRange="1"/>
    <ignoredError sqref="G45:K45 G41" formula="1" formulaRange="1"/>
    <ignoredError sqref="G114:K114 G43:K43 G4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D3:D102</xm:sqref>
        </x14:dataValidation>
        <x14:dataValidation type="list" allowBlank="1" showInputMessage="1" showErrorMessage="1">
          <x14:formula1>
            <xm:f>'Validation Lists'!$C$2:$C$4</xm:f>
          </x14:formula1>
          <xm:sqref>F3:F102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21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336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SUM(G48*G60,G50*G62,G52*G64,G54*G66,G56*G68,G57*G69)/52</f>
        <v>0</v>
      </c>
      <c r="H22" s="93">
        <f t="shared" ref="H22:K22" si="2">SUM(H48*H60,H50*H62,H52*H64,H54*H66,H56*H68,H57*H69)/52</f>
        <v>0</v>
      </c>
      <c r="I22" s="73">
        <f t="shared" si="2"/>
        <v>0</v>
      </c>
      <c r="J22" s="93">
        <f t="shared" si="2"/>
        <v>0</v>
      </c>
      <c r="K22" s="115">
        <f t="shared" si="2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SUM(G47*G59,G49*G61,G51*G63,G53*G65,G55*G67,G58*G70)/52</f>
        <v>7</v>
      </c>
      <c r="H27" s="93">
        <f t="shared" ref="H27:K27" si="3">SUM(H47*H59,H49*H61,H51*H63,H53*H65,H55*H67,H58*H70)/52</f>
        <v>0</v>
      </c>
      <c r="I27" s="73">
        <f t="shared" si="3"/>
        <v>0</v>
      </c>
      <c r="J27" s="93">
        <f t="shared" si="3"/>
        <v>0</v>
      </c>
      <c r="K27" s="115">
        <f t="shared" si="3"/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7</v>
      </c>
      <c r="H31" s="92">
        <f t="shared" ref="H31:K31" si="4">ROUND(H19,0)+ROUND(H20,0)+ROUND(H21,0)+ROUND(H22,0)+ROUND(H23,0)+ROUND(H24,0)+ROUND(H25,0)+ROUND(H26,0)+ROUND(H27,0)+ROUND(H28,0)+ROUND(H29,0)+ROUND(H30,0)</f>
        <v>0</v>
      </c>
      <c r="I31" s="71">
        <f t="shared" si="4"/>
        <v>0</v>
      </c>
      <c r="J31" s="92">
        <f t="shared" si="4"/>
        <v>0</v>
      </c>
      <c r="K31" s="114">
        <f t="shared" si="4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G48+G50+G52+G54+G56+G57</f>
        <v>0</v>
      </c>
      <c r="H32" s="90">
        <v>0</v>
      </c>
      <c r="I32" s="69">
        <v>0</v>
      </c>
      <c r="J32" s="90">
        <v>0</v>
      </c>
      <c r="K32" s="112"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0</v>
      </c>
      <c r="H38" s="93">
        <f t="shared" ref="H38:K38" si="5">ROUNDUP(H32+H33+H34+H35+H36-H37,0)</f>
        <v>0</v>
      </c>
      <c r="I38" s="73">
        <f t="shared" si="5"/>
        <v>0</v>
      </c>
      <c r="J38" s="93">
        <f t="shared" si="5"/>
        <v>0</v>
      </c>
      <c r="K38" s="115">
        <f t="shared" si="5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6">H39</f>
        <v>0</v>
      </c>
      <c r="I40" s="73">
        <f t="shared" si="6"/>
        <v>0</v>
      </c>
      <c r="J40" s="93">
        <f t="shared" si="6"/>
        <v>0</v>
      </c>
      <c r="K40" s="115">
        <f t="shared" si="6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7">ROUND(H21,0)+ROUND(H22,0)+ROUND(H23,0)+ROUND(H24,0)+ROUND(H25,0)+ROUND(H26,0)-ROUND(H36,0)</f>
        <v>0</v>
      </c>
      <c r="I43" s="73">
        <f t="shared" si="7"/>
        <v>0</v>
      </c>
      <c r="J43" s="93">
        <f t="shared" si="7"/>
        <v>0</v>
      </c>
      <c r="K43" s="115">
        <f t="shared" si="7"/>
        <v>0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0</v>
      </c>
      <c r="I44" s="73">
        <f ca="1">IF(I44-H44&gt;0,I44-H44,0)</f>
        <v>0</v>
      </c>
      <c r="J44" s="93">
        <f ca="1">IF(J44-I44&gt;0,J44-I44,0)</f>
        <v>0</v>
      </c>
      <c r="K44" s="115">
        <f ca="1">IF(K44-J44&gt;0,K44-J44,0)</f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7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7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317</v>
      </c>
      <c r="B47" s="168" t="s">
        <v>318</v>
      </c>
      <c r="C47" s="35" t="s">
        <v>128</v>
      </c>
      <c r="D47" s="40" t="s">
        <v>98</v>
      </c>
      <c r="E47" s="19"/>
      <c r="F47" s="19" t="s">
        <v>98</v>
      </c>
      <c r="G47" s="70">
        <v>1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4" t="s">
        <v>428</v>
      </c>
      <c r="D48" s="40" t="s">
        <v>98</v>
      </c>
      <c r="E48" s="19"/>
      <c r="F48" s="19"/>
      <c r="G48" s="70">
        <v>0</v>
      </c>
      <c r="H48" s="91">
        <v>0</v>
      </c>
      <c r="I48" s="70">
        <v>0</v>
      </c>
      <c r="J48" s="91">
        <v>0</v>
      </c>
      <c r="K48" s="113">
        <v>0</v>
      </c>
    </row>
    <row r="49" spans="1:11" x14ac:dyDescent="0.2">
      <c r="A49" s="48"/>
      <c r="B49" s="168"/>
      <c r="C49" s="14" t="s">
        <v>129</v>
      </c>
      <c r="D49" s="39" t="s">
        <v>98</v>
      </c>
      <c r="E49" s="17"/>
      <c r="F49" s="17" t="s">
        <v>98</v>
      </c>
      <c r="G49" s="73">
        <v>6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429</v>
      </c>
      <c r="D50" s="39" t="s">
        <v>98</v>
      </c>
      <c r="E50" s="17"/>
      <c r="F50" s="17"/>
      <c r="G50" s="73">
        <v>0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130</v>
      </c>
      <c r="D51" s="39" t="s">
        <v>98</v>
      </c>
      <c r="E51" s="17"/>
      <c r="F51" s="17" t="s">
        <v>98</v>
      </c>
      <c r="G51" s="73">
        <v>2.5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430</v>
      </c>
      <c r="D52" s="39" t="s">
        <v>98</v>
      </c>
      <c r="E52" s="17"/>
      <c r="F52" s="17"/>
      <c r="G52" s="73">
        <v>0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131</v>
      </c>
      <c r="D53" s="39" t="s">
        <v>98</v>
      </c>
      <c r="E53" s="17"/>
      <c r="F53" s="17" t="s">
        <v>98</v>
      </c>
      <c r="G53" s="73">
        <v>2.5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431</v>
      </c>
      <c r="D54" s="39" t="s">
        <v>98</v>
      </c>
      <c r="E54" s="17"/>
      <c r="F54" s="17"/>
      <c r="G54" s="73">
        <v>0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14" t="s">
        <v>132</v>
      </c>
      <c r="D55" s="39" t="s">
        <v>98</v>
      </c>
      <c r="E55" s="17"/>
      <c r="F55" s="17" t="s">
        <v>98</v>
      </c>
      <c r="G55" s="73">
        <v>1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14" t="s">
        <v>432</v>
      </c>
      <c r="D56" s="39" t="s">
        <v>98</v>
      </c>
      <c r="E56" s="18"/>
      <c r="F56" s="18"/>
      <c r="G56" s="145">
        <v>0</v>
      </c>
      <c r="H56" s="146">
        <v>0</v>
      </c>
      <c r="I56" s="145">
        <v>0</v>
      </c>
      <c r="J56" s="146">
        <v>0</v>
      </c>
      <c r="K56" s="147">
        <v>0</v>
      </c>
    </row>
    <row r="57" spans="1:11" x14ac:dyDescent="0.2">
      <c r="A57" s="48"/>
      <c r="B57" s="168"/>
      <c r="C57" s="14" t="s">
        <v>433</v>
      </c>
      <c r="D57" s="39" t="s">
        <v>98</v>
      </c>
      <c r="E57" s="18"/>
      <c r="F57" s="18"/>
      <c r="G57" s="145">
        <v>0</v>
      </c>
      <c r="H57" s="146">
        <v>0</v>
      </c>
      <c r="I57" s="145">
        <v>0</v>
      </c>
      <c r="J57" s="146">
        <v>0</v>
      </c>
      <c r="K57" s="147">
        <v>0</v>
      </c>
    </row>
    <row r="58" spans="1:11" ht="13.5" thickBot="1" x14ac:dyDescent="0.25">
      <c r="A58" s="48"/>
      <c r="B58" s="168"/>
      <c r="C58" s="225" t="s">
        <v>133</v>
      </c>
      <c r="D58" s="44" t="s">
        <v>98</v>
      </c>
      <c r="E58" s="18"/>
      <c r="F58" s="18" t="s">
        <v>98</v>
      </c>
      <c r="G58" s="145">
        <v>1</v>
      </c>
      <c r="H58" s="146">
        <v>0</v>
      </c>
      <c r="I58" s="145">
        <v>0</v>
      </c>
      <c r="J58" s="146">
        <v>0</v>
      </c>
      <c r="K58" s="147">
        <v>0</v>
      </c>
    </row>
    <row r="59" spans="1:11" x14ac:dyDescent="0.2">
      <c r="A59" s="165" t="s">
        <v>320</v>
      </c>
      <c r="B59" s="169" t="s">
        <v>318</v>
      </c>
      <c r="C59" s="21" t="s">
        <v>128</v>
      </c>
      <c r="D59" s="42" t="s">
        <v>98</v>
      </c>
      <c r="E59" s="22"/>
      <c r="F59" s="22" t="s">
        <v>98</v>
      </c>
      <c r="G59" s="69">
        <v>26</v>
      </c>
      <c r="H59" s="90">
        <v>0</v>
      </c>
      <c r="I59" s="69">
        <v>0</v>
      </c>
      <c r="J59" s="90">
        <v>0</v>
      </c>
      <c r="K59" s="112">
        <v>0</v>
      </c>
    </row>
    <row r="60" spans="1:11" x14ac:dyDescent="0.2">
      <c r="A60" s="48"/>
      <c r="B60" s="48"/>
      <c r="C60" s="13" t="s">
        <v>428</v>
      </c>
      <c r="D60" s="40" t="s">
        <v>98</v>
      </c>
      <c r="E60" s="19"/>
      <c r="F60" s="19"/>
      <c r="G60" s="70">
        <v>0</v>
      </c>
      <c r="H60" s="91">
        <v>0</v>
      </c>
      <c r="I60" s="70">
        <v>0</v>
      </c>
      <c r="J60" s="91">
        <v>0</v>
      </c>
      <c r="K60" s="113">
        <v>0</v>
      </c>
    </row>
    <row r="61" spans="1:11" x14ac:dyDescent="0.2">
      <c r="A61" s="48"/>
      <c r="B61" s="48"/>
      <c r="C61" s="13" t="s">
        <v>129</v>
      </c>
      <c r="D61" s="40" t="s">
        <v>98</v>
      </c>
      <c r="E61" s="17"/>
      <c r="F61" s="17" t="s">
        <v>98</v>
      </c>
      <c r="G61" s="73">
        <v>26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48"/>
      <c r="C62" s="13" t="s">
        <v>429</v>
      </c>
      <c r="D62" s="40" t="s">
        <v>98</v>
      </c>
      <c r="E62" s="17"/>
      <c r="F62" s="17"/>
      <c r="G62" s="73">
        <v>0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48"/>
      <c r="C63" s="13" t="s">
        <v>130</v>
      </c>
      <c r="D63" s="40" t="s">
        <v>98</v>
      </c>
      <c r="E63" s="17"/>
      <c r="F63" s="17" t="s">
        <v>98</v>
      </c>
      <c r="G63" s="73">
        <v>26</v>
      </c>
      <c r="H63" s="93">
        <v>0</v>
      </c>
      <c r="I63" s="73">
        <v>0</v>
      </c>
      <c r="J63" s="93">
        <v>0</v>
      </c>
      <c r="K63" s="115">
        <v>0</v>
      </c>
    </row>
    <row r="64" spans="1:11" x14ac:dyDescent="0.2">
      <c r="A64" s="48"/>
      <c r="B64" s="48"/>
      <c r="C64" s="13" t="s">
        <v>430</v>
      </c>
      <c r="D64" s="40" t="s">
        <v>98</v>
      </c>
      <c r="E64" s="17"/>
      <c r="F64" s="17"/>
      <c r="G64" s="73">
        <v>0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48"/>
      <c r="C65" s="13" t="s">
        <v>131</v>
      </c>
      <c r="D65" s="40" t="s">
        <v>98</v>
      </c>
      <c r="E65" s="17"/>
      <c r="F65" s="17" t="s">
        <v>98</v>
      </c>
      <c r="G65" s="73">
        <v>26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48"/>
      <c r="C66" s="13" t="s">
        <v>431</v>
      </c>
      <c r="D66" s="40" t="s">
        <v>98</v>
      </c>
      <c r="E66" s="17"/>
      <c r="F66" s="17"/>
      <c r="G66" s="73">
        <v>0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48"/>
      <c r="B67" s="48"/>
      <c r="C67" s="13" t="s">
        <v>132</v>
      </c>
      <c r="D67" s="40" t="s">
        <v>98</v>
      </c>
      <c r="E67" s="17"/>
      <c r="F67" s="17" t="s">
        <v>98</v>
      </c>
      <c r="G67" s="73">
        <v>26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48"/>
      <c r="B68" s="48"/>
      <c r="C68" s="3" t="s">
        <v>432</v>
      </c>
      <c r="D68" s="40" t="s">
        <v>98</v>
      </c>
      <c r="E68" s="18"/>
      <c r="F68" s="18"/>
      <c r="G68" s="145">
        <v>0</v>
      </c>
      <c r="H68" s="146">
        <v>0</v>
      </c>
      <c r="I68" s="145">
        <v>0</v>
      </c>
      <c r="J68" s="146">
        <v>0</v>
      </c>
      <c r="K68" s="147">
        <v>0</v>
      </c>
    </row>
    <row r="69" spans="1:11" x14ac:dyDescent="0.2">
      <c r="A69" s="48"/>
      <c r="B69" s="48"/>
      <c r="C69" s="3" t="s">
        <v>433</v>
      </c>
      <c r="D69" s="40" t="s">
        <v>98</v>
      </c>
      <c r="E69" s="18"/>
      <c r="F69" s="18"/>
      <c r="G69" s="145">
        <v>0</v>
      </c>
      <c r="H69" s="146">
        <v>0</v>
      </c>
      <c r="I69" s="145">
        <v>0</v>
      </c>
      <c r="J69" s="146">
        <v>0</v>
      </c>
      <c r="K69" s="147">
        <v>0</v>
      </c>
    </row>
    <row r="70" spans="1:11" ht="13.5" thickBot="1" x14ac:dyDescent="0.25">
      <c r="A70" s="48"/>
      <c r="B70" s="48"/>
      <c r="C70" s="30" t="s">
        <v>133</v>
      </c>
      <c r="D70" s="44" t="s">
        <v>98</v>
      </c>
      <c r="E70" s="18"/>
      <c r="F70" s="18" t="s">
        <v>98</v>
      </c>
      <c r="G70" s="145">
        <v>26</v>
      </c>
      <c r="H70" s="146">
        <v>0</v>
      </c>
      <c r="I70" s="145">
        <v>0</v>
      </c>
      <c r="J70" s="146">
        <v>0</v>
      </c>
      <c r="K70" s="147">
        <v>0</v>
      </c>
    </row>
    <row r="71" spans="1:11" x14ac:dyDescent="0.2">
      <c r="A71" s="169" t="s">
        <v>321</v>
      </c>
      <c r="B71" s="169" t="s">
        <v>318</v>
      </c>
      <c r="C71" s="21" t="s">
        <v>128</v>
      </c>
      <c r="D71" s="42" t="s">
        <v>49</v>
      </c>
      <c r="E71" s="22"/>
      <c r="F71" s="22" t="s">
        <v>29</v>
      </c>
      <c r="G71" s="74">
        <f>G59*G47*G11</f>
        <v>114400</v>
      </c>
      <c r="H71" s="94">
        <f>H59*H47*H11</f>
        <v>0</v>
      </c>
      <c r="I71" s="74">
        <f>I59*I47*I11</f>
        <v>0</v>
      </c>
      <c r="J71" s="94">
        <f>J59*J47*J11</f>
        <v>0</v>
      </c>
      <c r="K71" s="116">
        <f>K59*K47*K11</f>
        <v>0</v>
      </c>
    </row>
    <row r="72" spans="1:11" x14ac:dyDescent="0.2">
      <c r="A72" s="48"/>
      <c r="B72" s="48"/>
      <c r="C72" s="13" t="s">
        <v>428</v>
      </c>
      <c r="D72" s="40" t="s">
        <v>110</v>
      </c>
      <c r="E72" s="19"/>
      <c r="F72" s="19"/>
      <c r="G72" s="82">
        <f>G60*G48*G6</f>
        <v>0</v>
      </c>
      <c r="H72" s="102">
        <f t="shared" ref="H72:K72" si="8">H60*H48*H6</f>
        <v>0</v>
      </c>
      <c r="I72" s="82">
        <f t="shared" si="8"/>
        <v>0</v>
      </c>
      <c r="J72" s="102">
        <f t="shared" si="8"/>
        <v>0</v>
      </c>
      <c r="K72" s="121">
        <f t="shared" si="8"/>
        <v>0</v>
      </c>
    </row>
    <row r="73" spans="1:11" x14ac:dyDescent="0.2">
      <c r="A73" s="48"/>
      <c r="B73" s="48"/>
      <c r="C73" s="13" t="s">
        <v>129</v>
      </c>
      <c r="D73" s="39" t="s">
        <v>49</v>
      </c>
      <c r="E73" s="17"/>
      <c r="F73" s="17" t="s">
        <v>29</v>
      </c>
      <c r="G73" s="75">
        <f>G61*G49*G11</f>
        <v>686400</v>
      </c>
      <c r="H73" s="95">
        <f t="shared" ref="H73:K73" si="9">H61*H49*H11</f>
        <v>0</v>
      </c>
      <c r="I73" s="75">
        <f t="shared" si="9"/>
        <v>0</v>
      </c>
      <c r="J73" s="95">
        <f t="shared" si="9"/>
        <v>0</v>
      </c>
      <c r="K73" s="117">
        <f t="shared" si="9"/>
        <v>0</v>
      </c>
    </row>
    <row r="74" spans="1:11" x14ac:dyDescent="0.2">
      <c r="A74" s="48"/>
      <c r="B74" s="48"/>
      <c r="C74" s="13" t="s">
        <v>429</v>
      </c>
      <c r="D74" s="39" t="s">
        <v>110</v>
      </c>
      <c r="E74" s="17"/>
      <c r="F74" s="17"/>
      <c r="G74" s="75">
        <f>G62*G50*G6</f>
        <v>0</v>
      </c>
      <c r="H74" s="95">
        <f t="shared" ref="H74:K74" si="10">H62*H50*H6</f>
        <v>0</v>
      </c>
      <c r="I74" s="75">
        <f t="shared" si="10"/>
        <v>0</v>
      </c>
      <c r="J74" s="95">
        <f t="shared" si="10"/>
        <v>0</v>
      </c>
      <c r="K74" s="117">
        <f t="shared" si="10"/>
        <v>0</v>
      </c>
    </row>
    <row r="75" spans="1:11" x14ac:dyDescent="0.2">
      <c r="A75" s="48"/>
      <c r="B75" s="48"/>
      <c r="C75" s="13" t="s">
        <v>130</v>
      </c>
      <c r="D75" s="39" t="s">
        <v>49</v>
      </c>
      <c r="E75" s="17"/>
      <c r="F75" s="17" t="s">
        <v>29</v>
      </c>
      <c r="G75" s="75">
        <f>G63*G51*G11</f>
        <v>286000</v>
      </c>
      <c r="H75" s="95">
        <f t="shared" ref="H75:K75" si="11">H63*H51*H11</f>
        <v>0</v>
      </c>
      <c r="I75" s="75">
        <f t="shared" si="11"/>
        <v>0</v>
      </c>
      <c r="J75" s="95">
        <f t="shared" si="11"/>
        <v>0</v>
      </c>
      <c r="K75" s="117">
        <f t="shared" si="11"/>
        <v>0</v>
      </c>
    </row>
    <row r="76" spans="1:11" x14ac:dyDescent="0.2">
      <c r="A76" s="48"/>
      <c r="B76" s="48"/>
      <c r="C76" s="13" t="s">
        <v>430</v>
      </c>
      <c r="D76" s="39" t="s">
        <v>110</v>
      </c>
      <c r="E76" s="17"/>
      <c r="F76" s="17"/>
      <c r="G76" s="75">
        <f>G64*G52*G6</f>
        <v>0</v>
      </c>
      <c r="H76" s="95">
        <f t="shared" ref="H76:K76" si="12">H64*H52*H6</f>
        <v>0</v>
      </c>
      <c r="I76" s="75">
        <f t="shared" si="12"/>
        <v>0</v>
      </c>
      <c r="J76" s="95">
        <f t="shared" si="12"/>
        <v>0</v>
      </c>
      <c r="K76" s="117">
        <f t="shared" si="12"/>
        <v>0</v>
      </c>
    </row>
    <row r="77" spans="1:11" x14ac:dyDescent="0.2">
      <c r="A77" s="48"/>
      <c r="B77" s="48"/>
      <c r="C77" s="13" t="s">
        <v>131</v>
      </c>
      <c r="D77" s="39" t="s">
        <v>49</v>
      </c>
      <c r="E77" s="17"/>
      <c r="F77" s="17" t="s">
        <v>29</v>
      </c>
      <c r="G77" s="75">
        <f>G65*G53*G11</f>
        <v>286000</v>
      </c>
      <c r="H77" s="95">
        <f t="shared" ref="H77:K77" si="13">H65*H53*H11</f>
        <v>0</v>
      </c>
      <c r="I77" s="75">
        <f t="shared" si="13"/>
        <v>0</v>
      </c>
      <c r="J77" s="95">
        <f t="shared" si="13"/>
        <v>0</v>
      </c>
      <c r="K77" s="117">
        <f t="shared" si="13"/>
        <v>0</v>
      </c>
    </row>
    <row r="78" spans="1:11" x14ac:dyDescent="0.2">
      <c r="A78" s="48"/>
      <c r="B78" s="48"/>
      <c r="C78" s="13" t="s">
        <v>431</v>
      </c>
      <c r="D78" s="39" t="s">
        <v>110</v>
      </c>
      <c r="E78" s="17"/>
      <c r="F78" s="17"/>
      <c r="G78" s="75">
        <f>G66*G54*G6</f>
        <v>0</v>
      </c>
      <c r="H78" s="95">
        <f t="shared" ref="H78:K78" si="14">H66*H54*H6</f>
        <v>0</v>
      </c>
      <c r="I78" s="75">
        <f t="shared" si="14"/>
        <v>0</v>
      </c>
      <c r="J78" s="95">
        <f t="shared" si="14"/>
        <v>0</v>
      </c>
      <c r="K78" s="117">
        <f t="shared" si="14"/>
        <v>0</v>
      </c>
    </row>
    <row r="79" spans="1:11" x14ac:dyDescent="0.2">
      <c r="A79" s="48"/>
      <c r="B79" s="48"/>
      <c r="C79" s="13" t="s">
        <v>132</v>
      </c>
      <c r="D79" s="39" t="s">
        <v>49</v>
      </c>
      <c r="E79" s="17"/>
      <c r="F79" s="17" t="s">
        <v>29</v>
      </c>
      <c r="G79" s="75">
        <f>G67*G55*G11</f>
        <v>114400</v>
      </c>
      <c r="H79" s="95">
        <f t="shared" ref="H79:K79" si="15">H67*H55*H11</f>
        <v>0</v>
      </c>
      <c r="I79" s="75">
        <f t="shared" si="15"/>
        <v>0</v>
      </c>
      <c r="J79" s="95">
        <f t="shared" si="15"/>
        <v>0</v>
      </c>
      <c r="K79" s="117">
        <f t="shared" si="15"/>
        <v>0</v>
      </c>
    </row>
    <row r="80" spans="1:11" x14ac:dyDescent="0.2">
      <c r="A80" s="48"/>
      <c r="B80" s="48"/>
      <c r="C80" s="13" t="s">
        <v>432</v>
      </c>
      <c r="D80" s="39" t="s">
        <v>110</v>
      </c>
      <c r="E80" s="17"/>
      <c r="F80" s="17"/>
      <c r="G80" s="75">
        <f>G68*G56*G6</f>
        <v>0</v>
      </c>
      <c r="H80" s="95">
        <f t="shared" ref="H80:K80" si="16">H68*H56*H6</f>
        <v>0</v>
      </c>
      <c r="I80" s="75">
        <f t="shared" si="16"/>
        <v>0</v>
      </c>
      <c r="J80" s="95">
        <f t="shared" si="16"/>
        <v>0</v>
      </c>
      <c r="K80" s="117">
        <f t="shared" si="16"/>
        <v>0</v>
      </c>
    </row>
    <row r="81" spans="1:11" x14ac:dyDescent="0.2">
      <c r="A81" s="48"/>
      <c r="B81" s="48"/>
      <c r="C81" s="13" t="s">
        <v>433</v>
      </c>
      <c r="D81" s="39" t="s">
        <v>110</v>
      </c>
      <c r="E81" s="17"/>
      <c r="F81" s="17"/>
      <c r="G81" s="75">
        <f>G69*G57*G6</f>
        <v>0</v>
      </c>
      <c r="H81" s="95">
        <f t="shared" ref="H81:K81" si="17">H69*H57*H6</f>
        <v>0</v>
      </c>
      <c r="I81" s="75">
        <f t="shared" si="17"/>
        <v>0</v>
      </c>
      <c r="J81" s="95">
        <f t="shared" si="17"/>
        <v>0</v>
      </c>
      <c r="K81" s="117">
        <f t="shared" si="17"/>
        <v>0</v>
      </c>
    </row>
    <row r="82" spans="1:11" x14ac:dyDescent="0.2">
      <c r="A82" s="48"/>
      <c r="B82" s="48"/>
      <c r="C82" s="3" t="s">
        <v>133</v>
      </c>
      <c r="D82" s="39" t="s">
        <v>49</v>
      </c>
      <c r="E82" s="17"/>
      <c r="F82" s="17" t="s">
        <v>29</v>
      </c>
      <c r="G82" s="75">
        <f>G70*G58*G11</f>
        <v>114400</v>
      </c>
      <c r="H82" s="95">
        <f>H70*H58*H11</f>
        <v>0</v>
      </c>
      <c r="I82" s="75">
        <f>I70*I58*I11</f>
        <v>0</v>
      </c>
      <c r="J82" s="95">
        <f>J70*J58*J11</f>
        <v>0</v>
      </c>
      <c r="K82" s="117">
        <f>K70*K58*K11</f>
        <v>0</v>
      </c>
    </row>
    <row r="83" spans="1:11" x14ac:dyDescent="0.2">
      <c r="A83" s="48"/>
      <c r="B83" s="168"/>
      <c r="C83" s="13" t="s">
        <v>134</v>
      </c>
      <c r="D83" s="39" t="s">
        <v>98</v>
      </c>
      <c r="E83" s="17"/>
      <c r="F83" s="17" t="s">
        <v>98</v>
      </c>
      <c r="G83" s="75">
        <f>SUM(G71:G72)</f>
        <v>114400</v>
      </c>
      <c r="H83" s="95">
        <f>H71</f>
        <v>0</v>
      </c>
      <c r="I83" s="75">
        <f>I71</f>
        <v>0</v>
      </c>
      <c r="J83" s="95">
        <f>J71</f>
        <v>0</v>
      </c>
      <c r="K83" s="117">
        <f>K71</f>
        <v>0</v>
      </c>
    </row>
    <row r="84" spans="1:11" x14ac:dyDescent="0.2">
      <c r="A84" s="48"/>
      <c r="B84" s="168"/>
      <c r="C84" s="13" t="s">
        <v>135</v>
      </c>
      <c r="D84" s="39" t="s">
        <v>98</v>
      </c>
      <c r="E84" s="17"/>
      <c r="F84" s="17" t="s">
        <v>98</v>
      </c>
      <c r="G84" s="75">
        <f>SUM(G73:G74)</f>
        <v>686400</v>
      </c>
      <c r="H84" s="95">
        <f>H73</f>
        <v>0</v>
      </c>
      <c r="I84" s="75">
        <f>I73</f>
        <v>0</v>
      </c>
      <c r="J84" s="95">
        <f>J73</f>
        <v>0</v>
      </c>
      <c r="K84" s="117">
        <f>K73</f>
        <v>0</v>
      </c>
    </row>
    <row r="85" spans="1:11" x14ac:dyDescent="0.2">
      <c r="A85" s="48"/>
      <c r="B85" s="168"/>
      <c r="C85" s="13" t="s">
        <v>136</v>
      </c>
      <c r="D85" s="39" t="s">
        <v>98</v>
      </c>
      <c r="E85" s="17"/>
      <c r="F85" s="17" t="s">
        <v>98</v>
      </c>
      <c r="G85" s="75">
        <f>SUM(G75:G76)</f>
        <v>286000</v>
      </c>
      <c r="H85" s="95">
        <f>H75</f>
        <v>0</v>
      </c>
      <c r="I85" s="75">
        <f>I75</f>
        <v>0</v>
      </c>
      <c r="J85" s="95">
        <f>J75</f>
        <v>0</v>
      </c>
      <c r="K85" s="117">
        <f>K75</f>
        <v>0</v>
      </c>
    </row>
    <row r="86" spans="1:11" x14ac:dyDescent="0.2">
      <c r="A86" s="48"/>
      <c r="B86" s="168"/>
      <c r="C86" s="13" t="s">
        <v>137</v>
      </c>
      <c r="D86" s="39" t="s">
        <v>98</v>
      </c>
      <c r="E86" s="17"/>
      <c r="F86" s="17" t="s">
        <v>98</v>
      </c>
      <c r="G86" s="75">
        <f>SUM(G77:G78)</f>
        <v>286000</v>
      </c>
      <c r="H86" s="95">
        <f>H77</f>
        <v>0</v>
      </c>
      <c r="I86" s="75">
        <f>I77</f>
        <v>0</v>
      </c>
      <c r="J86" s="95">
        <f>J77</f>
        <v>0</v>
      </c>
      <c r="K86" s="117">
        <f>K77</f>
        <v>0</v>
      </c>
    </row>
    <row r="87" spans="1:11" x14ac:dyDescent="0.2">
      <c r="A87" s="48"/>
      <c r="B87" s="168"/>
      <c r="C87" s="13" t="s">
        <v>138</v>
      </c>
      <c r="D87" s="39" t="s">
        <v>98</v>
      </c>
      <c r="E87" s="17"/>
      <c r="F87" s="17" t="s">
        <v>98</v>
      </c>
      <c r="G87" s="75">
        <f>SUM(G79:G80)</f>
        <v>114400</v>
      </c>
      <c r="H87" s="95">
        <f>H79</f>
        <v>0</v>
      </c>
      <c r="I87" s="75">
        <f>I79</f>
        <v>0</v>
      </c>
      <c r="J87" s="95">
        <f>J79</f>
        <v>0</v>
      </c>
      <c r="K87" s="117">
        <f>K79</f>
        <v>0</v>
      </c>
    </row>
    <row r="88" spans="1:11" x14ac:dyDescent="0.2">
      <c r="A88" s="48"/>
      <c r="B88" s="168"/>
      <c r="C88" s="12" t="s">
        <v>139</v>
      </c>
      <c r="D88" s="44" t="s">
        <v>98</v>
      </c>
      <c r="E88" s="18"/>
      <c r="F88" s="18" t="s">
        <v>98</v>
      </c>
      <c r="G88" s="76">
        <f>SUM(G81:G82)</f>
        <v>114400</v>
      </c>
      <c r="H88" s="96">
        <f>H82</f>
        <v>0</v>
      </c>
      <c r="I88" s="76">
        <f>I82</f>
        <v>0</v>
      </c>
      <c r="J88" s="96">
        <f>J82</f>
        <v>0</v>
      </c>
      <c r="K88" s="175">
        <f>K82</f>
        <v>0</v>
      </c>
    </row>
    <row r="89" spans="1:11" s="50" customFormat="1" ht="13.5" thickBot="1" x14ac:dyDescent="0.25">
      <c r="A89" s="150"/>
      <c r="B89" s="49"/>
      <c r="C89" s="52" t="s">
        <v>48</v>
      </c>
      <c r="D89" s="53" t="s">
        <v>98</v>
      </c>
      <c r="E89" s="54"/>
      <c r="F89" s="54" t="s">
        <v>98</v>
      </c>
      <c r="G89" s="55">
        <f>SUM(G83:G88)</f>
        <v>1601600</v>
      </c>
      <c r="H89" s="55">
        <f>SUM(H83:H88)</f>
        <v>0</v>
      </c>
      <c r="I89" s="55">
        <f>SUM(I83:I88)</f>
        <v>0</v>
      </c>
      <c r="J89" s="55">
        <f>SUM(J83:J88)</f>
        <v>0</v>
      </c>
      <c r="K89" s="56">
        <f>SUM(K83:K88)</f>
        <v>0</v>
      </c>
    </row>
    <row r="90" spans="1:11" x14ac:dyDescent="0.2">
      <c r="B90" s="169" t="s">
        <v>322</v>
      </c>
      <c r="C90" s="21" t="s">
        <v>42</v>
      </c>
      <c r="D90" s="38" t="s">
        <v>304</v>
      </c>
      <c r="E90" s="22"/>
      <c r="F90" s="22" t="s">
        <v>29</v>
      </c>
      <c r="G90" s="77">
        <v>0</v>
      </c>
      <c r="H90" s="97">
        <v>0</v>
      </c>
      <c r="I90" s="77">
        <v>0</v>
      </c>
      <c r="J90" s="97">
        <v>0</v>
      </c>
      <c r="K90" s="124">
        <v>0</v>
      </c>
    </row>
    <row r="91" spans="1:11" x14ac:dyDescent="0.2">
      <c r="B91" s="48"/>
      <c r="C91" s="3" t="s">
        <v>44</v>
      </c>
      <c r="D91" s="39" t="s">
        <v>303</v>
      </c>
      <c r="E91" s="17"/>
      <c r="F91" s="17" t="s">
        <v>29</v>
      </c>
      <c r="G91" s="78">
        <f>(G41*(G17+G18))+(G42*G16)+(G43*(G17+G18))+(G44*G16)+(G45*G17)+(G46*G16)</f>
        <v>70651</v>
      </c>
      <c r="H91" s="98">
        <f ca="1">(H41*(H17+H18))+(H42*H16)+(H43*(H17+H18))+(H44*H16)+(H45*H17)+(H46*H16)</f>
        <v>0</v>
      </c>
      <c r="I91" s="78">
        <f ca="1">(I41*(I17+I18))+(I42*I16)+(I43*(I17+I18))+(I44*I16)+(I45*I17)+(I46*I16)</f>
        <v>0</v>
      </c>
      <c r="J91" s="98">
        <f ca="1">(J41*(J17+J18))+(J42*J16)+(J43*(J17+J18))+(J44*J16)+(J45*J17)+(J46*J16)</f>
        <v>0</v>
      </c>
      <c r="K91" s="118">
        <f ca="1">(K41*(K17+K18))+(K42*K16)+(K43*(K17+K18))+(K44*K16)+(K45*K17)+(K46*K16)</f>
        <v>0</v>
      </c>
    </row>
    <row r="92" spans="1:11" x14ac:dyDescent="0.2">
      <c r="B92" s="48"/>
      <c r="C92" s="14" t="s">
        <v>45</v>
      </c>
      <c r="D92" s="149" t="s">
        <v>304</v>
      </c>
      <c r="E92" s="25"/>
      <c r="F92" s="25" t="s">
        <v>29</v>
      </c>
      <c r="G92" s="78">
        <v>0</v>
      </c>
      <c r="H92" s="98">
        <v>0</v>
      </c>
      <c r="I92" s="78">
        <v>0</v>
      </c>
      <c r="J92" s="98">
        <v>0</v>
      </c>
      <c r="K92" s="118">
        <v>0</v>
      </c>
    </row>
    <row r="93" spans="1:11" x14ac:dyDescent="0.2">
      <c r="B93" s="48"/>
      <c r="C93" s="14" t="s">
        <v>46</v>
      </c>
      <c r="D93" s="149" t="s">
        <v>304</v>
      </c>
      <c r="E93" s="25"/>
      <c r="F93" s="25" t="s">
        <v>29</v>
      </c>
      <c r="G93" s="78">
        <v>0</v>
      </c>
      <c r="H93" s="98">
        <v>0</v>
      </c>
      <c r="I93" s="78">
        <v>0</v>
      </c>
      <c r="J93" s="98">
        <v>0</v>
      </c>
      <c r="K93" s="118">
        <v>0</v>
      </c>
    </row>
    <row r="94" spans="1:11" x14ac:dyDescent="0.2">
      <c r="B94" s="48"/>
      <c r="C94" s="151" t="s">
        <v>47</v>
      </c>
      <c r="D94" s="148" t="s">
        <v>304</v>
      </c>
      <c r="E94" s="152"/>
      <c r="F94" s="25" t="s">
        <v>29</v>
      </c>
      <c r="G94" s="79">
        <v>0</v>
      </c>
      <c r="H94" s="100">
        <v>0</v>
      </c>
      <c r="I94" s="79">
        <v>0</v>
      </c>
      <c r="J94" s="100">
        <v>0</v>
      </c>
      <c r="K94" s="119">
        <v>0</v>
      </c>
    </row>
    <row r="95" spans="1:11" s="50" customFormat="1" ht="13.5" thickBot="1" x14ac:dyDescent="0.25">
      <c r="B95" s="51"/>
      <c r="C95" s="52" t="s">
        <v>48</v>
      </c>
      <c r="D95" s="57" t="s">
        <v>98</v>
      </c>
      <c r="E95" s="54"/>
      <c r="F95" s="54" t="s">
        <v>98</v>
      </c>
      <c r="G95" s="61">
        <f>SUM(G90:G94)</f>
        <v>70651</v>
      </c>
      <c r="H95" s="61">
        <f ca="1">SUM(H90:H94)</f>
        <v>0</v>
      </c>
      <c r="I95" s="61">
        <f ca="1">SUM(I90:I94)</f>
        <v>0</v>
      </c>
      <c r="J95" s="61">
        <f ca="1">SUM(J90:J94)</f>
        <v>0</v>
      </c>
      <c r="K95" s="62">
        <f ca="1">SUM(K90:K94)</f>
        <v>0</v>
      </c>
    </row>
    <row r="96" spans="1:11" x14ac:dyDescent="0.2">
      <c r="B96" s="169" t="s">
        <v>323</v>
      </c>
      <c r="C96" s="35" t="s">
        <v>50</v>
      </c>
      <c r="D96" s="42" t="s">
        <v>96</v>
      </c>
      <c r="E96" s="22"/>
      <c r="F96" s="22" t="s">
        <v>29</v>
      </c>
      <c r="G96" s="80">
        <v>0</v>
      </c>
      <c r="H96" s="99">
        <v>0</v>
      </c>
      <c r="I96" s="80">
        <v>0</v>
      </c>
      <c r="J96" s="99">
        <v>0</v>
      </c>
      <c r="K96" s="125">
        <v>0</v>
      </c>
    </row>
    <row r="97" spans="2:17" x14ac:dyDescent="0.2">
      <c r="B97" s="48"/>
      <c r="C97" s="14" t="s">
        <v>76</v>
      </c>
      <c r="D97" s="39" t="s">
        <v>96</v>
      </c>
      <c r="E97" s="17"/>
      <c r="F97" s="17" t="s">
        <v>29</v>
      </c>
      <c r="G97" s="78">
        <v>0</v>
      </c>
      <c r="H97" s="98">
        <v>0</v>
      </c>
      <c r="I97" s="78">
        <v>0</v>
      </c>
      <c r="J97" s="98">
        <v>0</v>
      </c>
      <c r="K97" s="118">
        <v>0</v>
      </c>
    </row>
    <row r="98" spans="2:17" x14ac:dyDescent="0.2">
      <c r="B98" s="48"/>
      <c r="C98" s="14" t="s">
        <v>51</v>
      </c>
      <c r="D98" s="39" t="s">
        <v>96</v>
      </c>
      <c r="E98" s="17"/>
      <c r="F98" s="17" t="s">
        <v>29</v>
      </c>
      <c r="G98" s="78">
        <v>0</v>
      </c>
      <c r="H98" s="98">
        <v>0</v>
      </c>
      <c r="I98" s="78">
        <v>0</v>
      </c>
      <c r="J98" s="98">
        <v>0</v>
      </c>
      <c r="K98" s="118">
        <v>0</v>
      </c>
    </row>
    <row r="99" spans="2:17" x14ac:dyDescent="0.2">
      <c r="B99" s="48"/>
      <c r="C99" s="14" t="s">
        <v>52</v>
      </c>
      <c r="D99" s="39" t="s">
        <v>96</v>
      </c>
      <c r="E99" s="17"/>
      <c r="F99" s="17" t="s">
        <v>29</v>
      </c>
      <c r="G99" s="78">
        <v>0</v>
      </c>
      <c r="H99" s="98">
        <v>0</v>
      </c>
      <c r="I99" s="78">
        <v>0</v>
      </c>
      <c r="J99" s="98">
        <v>0</v>
      </c>
      <c r="K99" s="118">
        <v>0</v>
      </c>
    </row>
    <row r="100" spans="2:17" s="50" customFormat="1" ht="13.5" thickBot="1" x14ac:dyDescent="0.25">
      <c r="B100" s="51"/>
      <c r="C100" s="52" t="s">
        <v>48</v>
      </c>
      <c r="D100" s="53" t="s">
        <v>98</v>
      </c>
      <c r="E100" s="54"/>
      <c r="F100" s="54" t="s">
        <v>98</v>
      </c>
      <c r="G100" s="61">
        <f>SUM(G96:G99)</f>
        <v>0</v>
      </c>
      <c r="H100" s="61">
        <f>SUM(H96:H99)</f>
        <v>0</v>
      </c>
      <c r="I100" s="61">
        <f>SUM(I96:I99)</f>
        <v>0</v>
      </c>
      <c r="J100" s="61">
        <f>SUM(J96:J99)</f>
        <v>0</v>
      </c>
      <c r="K100" s="62">
        <f>SUM(K96:K99)</f>
        <v>0</v>
      </c>
    </row>
    <row r="102" spans="2:17" ht="13.5" thickBot="1" x14ac:dyDescent="0.25"/>
    <row r="103" spans="2:17" s="50" customFormat="1" x14ac:dyDescent="0.2">
      <c r="C103" s="126" t="s">
        <v>120</v>
      </c>
      <c r="D103" s="127"/>
      <c r="E103" s="128"/>
      <c r="F103" s="129"/>
      <c r="G103" s="134">
        <f>SUM(G89+G95+G100)</f>
        <v>1672251</v>
      </c>
      <c r="H103" s="134">
        <f ca="1">SUM(H89+H95+H100)</f>
        <v>0</v>
      </c>
      <c r="I103" s="134">
        <f ca="1">SUM(I89+I95+I100)</f>
        <v>0</v>
      </c>
      <c r="J103" s="134">
        <f ca="1">SUM(J89+J95+J100)</f>
        <v>0</v>
      </c>
      <c r="K103" s="135">
        <f ca="1">SUM(K89+K95+K100)</f>
        <v>0</v>
      </c>
      <c r="M103" s="1"/>
      <c r="N103" s="1"/>
      <c r="O103" s="1"/>
      <c r="P103" s="1"/>
      <c r="Q103" s="1"/>
    </row>
    <row r="104" spans="2:17" ht="13.5" thickBot="1" x14ac:dyDescent="0.25">
      <c r="C104" s="130" t="s">
        <v>121</v>
      </c>
      <c r="D104" s="131"/>
      <c r="E104" s="132"/>
      <c r="F104" s="133"/>
      <c r="G104" s="136">
        <f>G103</f>
        <v>1672251</v>
      </c>
      <c r="H104" s="136">
        <f ca="1">G104+H103</f>
        <v>1672251</v>
      </c>
      <c r="I104" s="136">
        <f ca="1">H104+I103</f>
        <v>1672251</v>
      </c>
      <c r="J104" s="136">
        <f ca="1">I104+J103</f>
        <v>1672251</v>
      </c>
      <c r="K104" s="137">
        <f ca="1">J104+K103</f>
        <v>1672251</v>
      </c>
    </row>
    <row r="105" spans="2:17" x14ac:dyDescent="0.2">
      <c r="C105" s="32" t="s">
        <v>110</v>
      </c>
      <c r="D105" s="40"/>
      <c r="E105" s="19"/>
      <c r="F105" s="19"/>
      <c r="G105" s="82">
        <f t="shared" ref="G105:K111" si="18">SUMIF($D$3:$D$100,$C105,G$3:G$100)</f>
        <v>0</v>
      </c>
      <c r="H105" s="102">
        <f t="shared" si="18"/>
        <v>0</v>
      </c>
      <c r="I105" s="82">
        <f t="shared" si="18"/>
        <v>0</v>
      </c>
      <c r="J105" s="102">
        <f t="shared" si="18"/>
        <v>0</v>
      </c>
      <c r="K105" s="121">
        <f t="shared" si="18"/>
        <v>0</v>
      </c>
    </row>
    <row r="106" spans="2:17" x14ac:dyDescent="0.2">
      <c r="C106" s="59" t="s">
        <v>111</v>
      </c>
      <c r="D106" s="39"/>
      <c r="E106" s="17"/>
      <c r="F106" s="17"/>
      <c r="G106" s="82">
        <f t="shared" si="18"/>
        <v>0</v>
      </c>
      <c r="H106" s="102">
        <f t="shared" si="18"/>
        <v>0</v>
      </c>
      <c r="I106" s="82">
        <f t="shared" si="18"/>
        <v>0</v>
      </c>
      <c r="J106" s="102">
        <f t="shared" si="18"/>
        <v>0</v>
      </c>
      <c r="K106" s="121">
        <f t="shared" si="18"/>
        <v>0</v>
      </c>
    </row>
    <row r="107" spans="2:17" x14ac:dyDescent="0.2">
      <c r="C107" s="59" t="s">
        <v>112</v>
      </c>
      <c r="D107" s="39"/>
      <c r="E107" s="17"/>
      <c r="F107" s="17"/>
      <c r="G107" s="82">
        <f t="shared" si="18"/>
        <v>0</v>
      </c>
      <c r="H107" s="102">
        <f t="shared" si="18"/>
        <v>0</v>
      </c>
      <c r="I107" s="82">
        <f t="shared" si="18"/>
        <v>0</v>
      </c>
      <c r="J107" s="102">
        <f t="shared" si="18"/>
        <v>0</v>
      </c>
      <c r="K107" s="121">
        <f t="shared" si="18"/>
        <v>0</v>
      </c>
    </row>
    <row r="108" spans="2:17" x14ac:dyDescent="0.2">
      <c r="C108" s="59" t="s">
        <v>113</v>
      </c>
      <c r="D108" s="39"/>
      <c r="E108" s="17"/>
      <c r="F108" s="17"/>
      <c r="G108" s="82">
        <f t="shared" si="18"/>
        <v>0</v>
      </c>
      <c r="H108" s="102">
        <f t="shared" si="18"/>
        <v>0</v>
      </c>
      <c r="I108" s="82">
        <f t="shared" si="18"/>
        <v>0</v>
      </c>
      <c r="J108" s="102">
        <f t="shared" si="18"/>
        <v>0</v>
      </c>
      <c r="K108" s="121">
        <f t="shared" si="18"/>
        <v>0</v>
      </c>
    </row>
    <row r="109" spans="2:17" x14ac:dyDescent="0.2">
      <c r="C109" s="59" t="s">
        <v>49</v>
      </c>
      <c r="D109" s="39"/>
      <c r="E109" s="17"/>
      <c r="F109" s="17"/>
      <c r="G109" s="82">
        <f t="shared" si="18"/>
        <v>1601600</v>
      </c>
      <c r="H109" s="102">
        <f t="shared" si="18"/>
        <v>0</v>
      </c>
      <c r="I109" s="82">
        <f t="shared" si="18"/>
        <v>0</v>
      </c>
      <c r="J109" s="102">
        <f t="shared" si="18"/>
        <v>0</v>
      </c>
      <c r="K109" s="121">
        <f t="shared" si="18"/>
        <v>0</v>
      </c>
    </row>
    <row r="110" spans="2:17" x14ac:dyDescent="0.2">
      <c r="C110" s="59" t="s">
        <v>303</v>
      </c>
      <c r="D110" s="39"/>
      <c r="E110" s="17"/>
      <c r="F110" s="17"/>
      <c r="G110" s="82">
        <f t="shared" si="18"/>
        <v>70651</v>
      </c>
      <c r="H110" s="102">
        <f t="shared" ca="1" si="18"/>
        <v>0</v>
      </c>
      <c r="I110" s="82">
        <f t="shared" ca="1" si="18"/>
        <v>0</v>
      </c>
      <c r="J110" s="102">
        <f t="shared" ca="1" si="18"/>
        <v>0</v>
      </c>
      <c r="K110" s="121">
        <f t="shared" ca="1" si="18"/>
        <v>0</v>
      </c>
    </row>
    <row r="111" spans="2:17" x14ac:dyDescent="0.2">
      <c r="C111" s="59" t="s">
        <v>304</v>
      </c>
      <c r="D111" s="39"/>
      <c r="E111" s="17"/>
      <c r="F111" s="17"/>
      <c r="G111" s="82">
        <f t="shared" si="18"/>
        <v>0</v>
      </c>
      <c r="H111" s="102">
        <f t="shared" si="18"/>
        <v>0</v>
      </c>
      <c r="I111" s="82">
        <f t="shared" si="18"/>
        <v>0</v>
      </c>
      <c r="J111" s="102">
        <f t="shared" si="18"/>
        <v>0</v>
      </c>
      <c r="K111" s="121">
        <f t="shared" si="18"/>
        <v>0</v>
      </c>
    </row>
    <row r="112" spans="2:17" x14ac:dyDescent="0.2">
      <c r="C112" s="59" t="s">
        <v>53</v>
      </c>
      <c r="D112" s="39"/>
      <c r="E112" s="17"/>
      <c r="F112" s="17"/>
      <c r="G112" s="75">
        <f>SUM(G105:G111)</f>
        <v>1672251</v>
      </c>
      <c r="H112" s="95">
        <f t="shared" ref="H112:K112" ca="1" si="19">SUM(H105:H111)</f>
        <v>0</v>
      </c>
      <c r="I112" s="75">
        <f t="shared" ca="1" si="19"/>
        <v>0</v>
      </c>
      <c r="J112" s="95">
        <f t="shared" ca="1" si="19"/>
        <v>0</v>
      </c>
      <c r="K112" s="117">
        <f t="shared" ca="1" si="19"/>
        <v>0</v>
      </c>
    </row>
    <row r="113" spans="3:11" ht="13.5" thickBot="1" x14ac:dyDescent="0.25">
      <c r="C113" s="33" t="s">
        <v>96</v>
      </c>
      <c r="D113" s="41"/>
      <c r="E113" s="31"/>
      <c r="F113" s="31"/>
      <c r="G113" s="81">
        <f>SUMIF($D$3:$D$100,$C113,G$3:G$100)</f>
        <v>0</v>
      </c>
      <c r="H113" s="101">
        <f>SUMIF($D$3:$D$100,$C113,H$3:H$100)</f>
        <v>0</v>
      </c>
      <c r="I113" s="81">
        <f>SUMIF($D$3:$D$100,$C113,I$3:I$100)</f>
        <v>0</v>
      </c>
      <c r="J113" s="101">
        <f>SUMIF($D$3:$D$100,$C113,J$3:J$100)</f>
        <v>0</v>
      </c>
      <c r="K113" s="120">
        <f>SUMIF($D$3:$D$100,$C113,K$3:K$100)</f>
        <v>0</v>
      </c>
    </row>
    <row r="115" spans="3:11" ht="13.5" thickBot="1" x14ac:dyDescent="0.25"/>
    <row r="116" spans="3:11" x14ac:dyDescent="0.2">
      <c r="C116" s="58" t="s">
        <v>114</v>
      </c>
      <c r="D116" s="42"/>
      <c r="E116" s="22"/>
      <c r="F116" s="22"/>
      <c r="G116" s="63"/>
      <c r="H116" s="63"/>
      <c r="I116" s="63"/>
      <c r="J116" s="63"/>
      <c r="K116" s="64"/>
    </row>
    <row r="117" spans="3:11" x14ac:dyDescent="0.2">
      <c r="C117" s="59" t="s">
        <v>54</v>
      </c>
      <c r="D117" s="39"/>
      <c r="E117" s="17"/>
      <c r="F117" s="17"/>
      <c r="G117" s="83">
        <f>G$103/((1+0.03)^G$2)</f>
        <v>1623544.6601941746</v>
      </c>
      <c r="H117" s="103">
        <f ca="1">H$103/((1+0.03)^H$2)</f>
        <v>0</v>
      </c>
      <c r="I117" s="83">
        <f ca="1">I$103/((1+0.03)^I$2)</f>
        <v>0</v>
      </c>
      <c r="J117" s="103">
        <f ca="1">J$103/((1+0.03)^J$2)</f>
        <v>0</v>
      </c>
      <c r="K117" s="122">
        <f ca="1">K$103/((1+0.03)^K$2)</f>
        <v>0</v>
      </c>
    </row>
    <row r="118" spans="3:11" x14ac:dyDescent="0.2">
      <c r="C118" s="59" t="s">
        <v>55</v>
      </c>
      <c r="D118" s="39"/>
      <c r="E118" s="17"/>
      <c r="F118" s="17"/>
      <c r="G118" s="83">
        <f>G$103/((1+0.05)^G$2)</f>
        <v>1592620</v>
      </c>
      <c r="H118" s="103">
        <f ca="1">H$103/((1+0.05)^H$2)</f>
        <v>0</v>
      </c>
      <c r="I118" s="83">
        <f ca="1">I$103/((1+0.05)^I$2)</f>
        <v>0</v>
      </c>
      <c r="J118" s="103">
        <f ca="1">J$103/((1+0.05)^J$2)</f>
        <v>0</v>
      </c>
      <c r="K118" s="122">
        <f ca="1">K$103/((1+0.05)^K$2)</f>
        <v>0</v>
      </c>
    </row>
    <row r="119" spans="3:11" x14ac:dyDescent="0.2">
      <c r="C119" s="59" t="s">
        <v>56</v>
      </c>
      <c r="D119" s="39"/>
      <c r="E119" s="17"/>
      <c r="F119" s="17"/>
      <c r="G119" s="83">
        <f>G$103/((1+0.08)^G$2)</f>
        <v>1548380.5555555555</v>
      </c>
      <c r="H119" s="103">
        <f ca="1">H$103/((1+0.08)^H$2)</f>
        <v>0</v>
      </c>
      <c r="I119" s="83">
        <f ca="1">I$103/((1+0.08)^I$2)</f>
        <v>0</v>
      </c>
      <c r="J119" s="103">
        <f ca="1">J$103/((1+0.08)^J$2)</f>
        <v>0</v>
      </c>
      <c r="K119" s="122">
        <f ca="1">K$103/((1+0.08)^K$2)</f>
        <v>0</v>
      </c>
    </row>
    <row r="120" spans="3:11" x14ac:dyDescent="0.2">
      <c r="C120" s="59" t="s">
        <v>57</v>
      </c>
      <c r="D120" s="39"/>
      <c r="E120" s="17"/>
      <c r="F120" s="17"/>
      <c r="G120" s="83">
        <f>G$103/((1+0.1)^G$2)</f>
        <v>1520228.1818181816</v>
      </c>
      <c r="H120" s="103">
        <f ca="1">H$103/((1+0.1)^H$2)</f>
        <v>0</v>
      </c>
      <c r="I120" s="83">
        <f ca="1">I$103/((1+0.1)^I$2)</f>
        <v>0</v>
      </c>
      <c r="J120" s="103">
        <f ca="1">J$103/((1+0.1)^J$2)</f>
        <v>0</v>
      </c>
      <c r="K120" s="122">
        <f ca="1">K$103/((1+0.1)^K$2)</f>
        <v>0</v>
      </c>
    </row>
    <row r="121" spans="3:11" ht="13.5" thickBot="1" x14ac:dyDescent="0.25">
      <c r="C121" s="33" t="s">
        <v>58</v>
      </c>
      <c r="D121" s="41"/>
      <c r="E121" s="31"/>
      <c r="F121" s="31"/>
      <c r="G121" s="84">
        <f>G$103/((1+0.12)^G$2)</f>
        <v>1493081.2499999998</v>
      </c>
      <c r="H121" s="104">
        <f ca="1">H$103/((1+0.12)^H$2)</f>
        <v>0</v>
      </c>
      <c r="I121" s="84">
        <f ca="1">I$103/((1+0.12)^I$2)</f>
        <v>0</v>
      </c>
      <c r="J121" s="104">
        <f ca="1">J$103/((1+0.12)^J$2)</f>
        <v>0</v>
      </c>
      <c r="K121" s="123">
        <f ca="1">K$103/((1+0.12)^K$2)</f>
        <v>0</v>
      </c>
    </row>
  </sheetData>
  <pageMargins left="0.7" right="0.7" top="0.75" bottom="0.75" header="0.3" footer="0.3"/>
  <pageSetup scale="46" fitToHeight="0" orientation="landscape" r:id="rId1"/>
  <ignoredErrors>
    <ignoredError sqref="G41:K43 G112:K112 G45:K45 G44 I44:K4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D3:D100</xm:sqref>
        </x14:dataValidation>
        <x14:dataValidation type="list" allowBlank="1" showInputMessage="1" showErrorMessage="1">
          <x14:formula1>
            <xm:f>'Validation Lists'!$C$2:$C$4</xm:f>
          </x14:formula1>
          <xm:sqref>F3:F100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46"/>
  <sheetViews>
    <sheetView zoomScale="70" zoomScaleNormal="7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97.28515625" style="1" customWidth="1"/>
    <col min="4" max="4" width="28.710937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337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SUM(G47*G67,G52*G72,G58*G78,G61*G81,G64*G84)/52</f>
        <v>0.24519230769230768</v>
      </c>
      <c r="H21" s="93">
        <f t="shared" ref="H21:K21" si="2">SUM(H47*H67,H52*H72,H58*H78,H61*H81,H64*H84)/52</f>
        <v>3.7500000000000006E-2</v>
      </c>
      <c r="I21" s="73">
        <f t="shared" si="2"/>
        <v>3.7500000000000006E-2</v>
      </c>
      <c r="J21" s="93">
        <f t="shared" si="2"/>
        <v>3.7500000000000006E-2</v>
      </c>
      <c r="K21" s="73">
        <f t="shared" si="2"/>
        <v>3.7500000000000006E-2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SUM(G48*G68,G53*G73,G57*G77,G60*G80,G63*G83,G66*G86)/52</f>
        <v>0.77307692307692311</v>
      </c>
      <c r="H22" s="93">
        <f t="shared" ref="H22:K22" si="3">SUM(H48*H68,H53*H73,H57*H77,H60*H80,H63*H83,H66*H86)/52</f>
        <v>0.15461538461538463</v>
      </c>
      <c r="I22" s="73">
        <f t="shared" si="3"/>
        <v>0.15461538461538463</v>
      </c>
      <c r="J22" s="93">
        <f t="shared" si="3"/>
        <v>0.15461538461538463</v>
      </c>
      <c r="K22" s="115">
        <f t="shared" si="3"/>
        <v>0.15461538461538463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f>SUM(G49*G69,G54*G74)/52</f>
        <v>0.11442307692307691</v>
      </c>
      <c r="H23" s="93">
        <f t="shared" ref="H23:K23" si="4">SUM(H49*H69,H54*H74)/52</f>
        <v>2.2884615384615385E-2</v>
      </c>
      <c r="I23" s="73">
        <f t="shared" si="4"/>
        <v>2.2884615384615385E-2</v>
      </c>
      <c r="J23" s="93">
        <f t="shared" si="4"/>
        <v>2.2884615384615385E-2</v>
      </c>
      <c r="K23" s="115">
        <f t="shared" si="4"/>
        <v>2.2884615384615385E-2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f>SUM(G51*G71,G56*G76)/52</f>
        <v>0.11442307692307691</v>
      </c>
      <c r="H25" s="93">
        <f t="shared" ref="H25:K25" si="5">SUM(H51*H71,H56*H76)/52</f>
        <v>2.2884615384615385E-2</v>
      </c>
      <c r="I25" s="73">
        <f t="shared" si="5"/>
        <v>2.2884615384615385E-2</v>
      </c>
      <c r="J25" s="93">
        <f t="shared" si="5"/>
        <v>2.2884615384615385E-2</v>
      </c>
      <c r="K25" s="115">
        <f t="shared" si="5"/>
        <v>2.2884615384615385E-2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f>SUM(K50*K70)/52</f>
        <v>5.7692307692307704E-3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SUM(G50*G70,G55*G75,G59*G79,G62*G82,G65*G85)/52</f>
        <v>0.21153846153846154</v>
      </c>
      <c r="H28" s="93">
        <f t="shared" ref="H28:K28" si="6">SUM(H50*H70,H55*H75,H59*H79,H62*H82,H65*H85)/52</f>
        <v>3.0769230769230771E-2</v>
      </c>
      <c r="I28" s="73">
        <f t="shared" si="6"/>
        <v>3.0769230769230771E-2</v>
      </c>
      <c r="J28" s="93">
        <f t="shared" si="6"/>
        <v>3.0769230769230771E-2</v>
      </c>
      <c r="K28" s="115">
        <f t="shared" si="6"/>
        <v>3.0769230769230771E-2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1</v>
      </c>
      <c r="H31" s="92">
        <f t="shared" ref="H31:K31" si="7">ROUND(H19,0)+ROUND(H20,0)+ROUND(H21,0)+ROUND(H22,0)+ROUND(H23,0)+ROUND(H24,0)+ROUND(H25,0)+ROUND(H26,0)+ROUND(H27,0)+ROUND(H28,0)+ROUND(H29,0)+ROUND(H30,0)</f>
        <v>0</v>
      </c>
      <c r="I31" s="71">
        <f t="shared" si="7"/>
        <v>0</v>
      </c>
      <c r="J31" s="92">
        <f t="shared" si="7"/>
        <v>0</v>
      </c>
      <c r="K31" s="114">
        <f t="shared" si="7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G47+G48+G52+G53+G57+G58+G60+G61+G63+G64+G66</f>
        <v>12.7</v>
      </c>
      <c r="H32" s="90">
        <f t="shared" ref="H32:K32" si="8">H47+H48+H52+H53+H57+H58+H60+H61+H63+H64+H66</f>
        <v>2.5400000000000005</v>
      </c>
      <c r="I32" s="69">
        <f t="shared" si="8"/>
        <v>2.5400000000000005</v>
      </c>
      <c r="J32" s="90">
        <f t="shared" si="8"/>
        <v>2.5400000000000005</v>
      </c>
      <c r="K32" s="112">
        <f t="shared" si="8"/>
        <v>2.5400000000000005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f>G49+G54</f>
        <v>1.7</v>
      </c>
      <c r="H33" s="93">
        <f t="shared" ref="H33:K33" si="9">H49+H54</f>
        <v>0.34</v>
      </c>
      <c r="I33" s="73">
        <f t="shared" si="9"/>
        <v>0.34</v>
      </c>
      <c r="J33" s="93">
        <f t="shared" si="9"/>
        <v>0.34</v>
      </c>
      <c r="K33" s="115">
        <f t="shared" si="9"/>
        <v>0.34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f>G51+G56</f>
        <v>1.7</v>
      </c>
      <c r="H35" s="93">
        <f t="shared" ref="H35:K35" si="10">H51+H56</f>
        <v>0.34</v>
      </c>
      <c r="I35" s="73">
        <f t="shared" si="10"/>
        <v>0.34</v>
      </c>
      <c r="J35" s="93">
        <f t="shared" si="10"/>
        <v>0.34</v>
      </c>
      <c r="K35" s="115">
        <f t="shared" si="10"/>
        <v>0.34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17</v>
      </c>
      <c r="H38" s="93">
        <f t="shared" ref="H38:K38" si="11">ROUNDUP(H32+H33+H34+H35+H36-H37,0)</f>
        <v>4</v>
      </c>
      <c r="I38" s="73">
        <f t="shared" si="11"/>
        <v>4</v>
      </c>
      <c r="J38" s="93">
        <f t="shared" si="11"/>
        <v>4</v>
      </c>
      <c r="K38" s="115">
        <f t="shared" si="11"/>
        <v>4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2">H39</f>
        <v>0</v>
      </c>
      <c r="I40" s="73">
        <f t="shared" si="12"/>
        <v>0</v>
      </c>
      <c r="J40" s="93">
        <f t="shared" si="12"/>
        <v>0</v>
      </c>
      <c r="K40" s="115">
        <f t="shared" si="12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1</v>
      </c>
      <c r="H43" s="93">
        <f t="shared" ref="H43:K43" si="13">ROUND(H21,0)+ROUND(H22,0)+ROUND(H23,0)+ROUND(H24,0)+ROUND(H25,0)+ROUND(H26,0)-ROUND(H36,0)</f>
        <v>0</v>
      </c>
      <c r="I43" s="73">
        <f t="shared" si="13"/>
        <v>0</v>
      </c>
      <c r="J43" s="93">
        <f t="shared" si="13"/>
        <v>0</v>
      </c>
      <c r="K43" s="115">
        <f t="shared" si="13"/>
        <v>0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1</v>
      </c>
      <c r="H44" s="93">
        <f>IF(H43-G43&gt;0,H43-G43,0)</f>
        <v>0</v>
      </c>
      <c r="I44" s="73">
        <f t="shared" ref="I44:K44" si="14">IF(I43-H43&gt;0,I43-H43,0)</f>
        <v>0</v>
      </c>
      <c r="J44" s="93">
        <f t="shared" si="14"/>
        <v>0</v>
      </c>
      <c r="K44" s="115">
        <f t="shared" si="14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>IF(H45-G45&gt;0,H45-G45,0)</f>
        <v>0</v>
      </c>
      <c r="I46" s="71">
        <f t="shared" ref="I46" si="15">IF(I45-H45&gt;0,I45-H45,0)</f>
        <v>0</v>
      </c>
      <c r="J46" s="92">
        <f t="shared" ref="J46" si="16">IF(J45-I45&gt;0,J45-I45,0)</f>
        <v>0</v>
      </c>
      <c r="K46" s="115">
        <f t="shared" ref="K46" si="17">IF(K45-J45&gt;0,K45-J45,0)</f>
        <v>0</v>
      </c>
    </row>
    <row r="47" spans="1:11" x14ac:dyDescent="0.2">
      <c r="A47" s="48" t="s">
        <v>317</v>
      </c>
      <c r="B47" s="168" t="s">
        <v>318</v>
      </c>
      <c r="C47" s="13" t="s">
        <v>156</v>
      </c>
      <c r="D47" s="40" t="s">
        <v>98</v>
      </c>
      <c r="E47" s="19"/>
      <c r="F47" s="19" t="s">
        <v>98</v>
      </c>
      <c r="G47" s="70">
        <v>0.75</v>
      </c>
      <c r="H47" s="91">
        <f>$G47*0.2</f>
        <v>0.15000000000000002</v>
      </c>
      <c r="I47" s="70">
        <f t="shared" ref="I47:K47" si="18">$G47*0.2</f>
        <v>0.15000000000000002</v>
      </c>
      <c r="J47" s="91">
        <f t="shared" si="18"/>
        <v>0.15000000000000002</v>
      </c>
      <c r="K47" s="112">
        <f t="shared" si="18"/>
        <v>0.15000000000000002</v>
      </c>
    </row>
    <row r="48" spans="1:11" x14ac:dyDescent="0.2">
      <c r="A48" s="48"/>
      <c r="B48" s="168"/>
      <c r="C48" s="3" t="s">
        <v>153</v>
      </c>
      <c r="D48" s="39" t="s">
        <v>98</v>
      </c>
      <c r="E48" s="17"/>
      <c r="F48" s="17" t="s">
        <v>98</v>
      </c>
      <c r="G48" s="73">
        <v>0.1</v>
      </c>
      <c r="H48" s="91">
        <f t="shared" ref="H48:K66" si="19">$G48*0.2</f>
        <v>2.0000000000000004E-2</v>
      </c>
      <c r="I48" s="70">
        <f t="shared" si="19"/>
        <v>2.0000000000000004E-2</v>
      </c>
      <c r="J48" s="91">
        <f t="shared" si="19"/>
        <v>2.0000000000000004E-2</v>
      </c>
      <c r="K48" s="113">
        <f t="shared" si="19"/>
        <v>2.0000000000000004E-2</v>
      </c>
    </row>
    <row r="49" spans="1:11" x14ac:dyDescent="0.2">
      <c r="A49" s="48"/>
      <c r="B49" s="168"/>
      <c r="C49" s="3" t="s">
        <v>154</v>
      </c>
      <c r="D49" s="39" t="s">
        <v>98</v>
      </c>
      <c r="E49" s="17"/>
      <c r="F49" s="17" t="s">
        <v>98</v>
      </c>
      <c r="G49" s="73">
        <v>0.85</v>
      </c>
      <c r="H49" s="91">
        <f t="shared" si="19"/>
        <v>0.17</v>
      </c>
      <c r="I49" s="70">
        <f t="shared" si="19"/>
        <v>0.17</v>
      </c>
      <c r="J49" s="91">
        <f t="shared" si="19"/>
        <v>0.17</v>
      </c>
      <c r="K49" s="113">
        <f t="shared" si="19"/>
        <v>0.17</v>
      </c>
    </row>
    <row r="50" spans="1:11" x14ac:dyDescent="0.2">
      <c r="A50" s="48"/>
      <c r="B50" s="168"/>
      <c r="C50" s="14" t="s">
        <v>155</v>
      </c>
      <c r="D50" s="39" t="s">
        <v>98</v>
      </c>
      <c r="E50" s="17"/>
      <c r="F50" s="17" t="s">
        <v>98</v>
      </c>
      <c r="G50" s="73">
        <v>0.5</v>
      </c>
      <c r="H50" s="91">
        <f t="shared" si="19"/>
        <v>0.1</v>
      </c>
      <c r="I50" s="70">
        <f t="shared" si="19"/>
        <v>0.1</v>
      </c>
      <c r="J50" s="91">
        <f t="shared" si="19"/>
        <v>0.1</v>
      </c>
      <c r="K50" s="113">
        <f t="shared" si="19"/>
        <v>0.1</v>
      </c>
    </row>
    <row r="51" spans="1:11" x14ac:dyDescent="0.2">
      <c r="A51" s="48"/>
      <c r="B51" s="168"/>
      <c r="C51" s="3" t="s">
        <v>174</v>
      </c>
      <c r="D51" s="39" t="s">
        <v>98</v>
      </c>
      <c r="E51" s="17"/>
      <c r="F51" s="17" t="s">
        <v>98</v>
      </c>
      <c r="G51" s="73">
        <v>0.85</v>
      </c>
      <c r="H51" s="91">
        <f t="shared" si="19"/>
        <v>0.17</v>
      </c>
      <c r="I51" s="70">
        <f t="shared" si="19"/>
        <v>0.17</v>
      </c>
      <c r="J51" s="91">
        <f t="shared" si="19"/>
        <v>0.17</v>
      </c>
      <c r="K51" s="113">
        <f t="shared" si="19"/>
        <v>0.17</v>
      </c>
    </row>
    <row r="52" spans="1:11" x14ac:dyDescent="0.2">
      <c r="A52" s="48"/>
      <c r="B52" s="168"/>
      <c r="C52" s="3" t="s">
        <v>157</v>
      </c>
      <c r="D52" s="39" t="s">
        <v>98</v>
      </c>
      <c r="E52" s="17"/>
      <c r="F52" s="17" t="s">
        <v>98</v>
      </c>
      <c r="G52" s="73">
        <v>0.75</v>
      </c>
      <c r="H52" s="91">
        <f>$G52*0.2</f>
        <v>0.15000000000000002</v>
      </c>
      <c r="I52" s="70">
        <f t="shared" si="19"/>
        <v>0.15000000000000002</v>
      </c>
      <c r="J52" s="91">
        <f t="shared" si="19"/>
        <v>0.15000000000000002</v>
      </c>
      <c r="K52" s="113">
        <f t="shared" si="19"/>
        <v>0.15000000000000002</v>
      </c>
    </row>
    <row r="53" spans="1:11" x14ac:dyDescent="0.2">
      <c r="A53" s="48"/>
      <c r="B53" s="168"/>
      <c r="C53" s="3" t="s">
        <v>158</v>
      </c>
      <c r="D53" s="39" t="s">
        <v>98</v>
      </c>
      <c r="E53" s="17"/>
      <c r="F53" s="17" t="s">
        <v>98</v>
      </c>
      <c r="G53" s="73">
        <v>0.1</v>
      </c>
      <c r="H53" s="91">
        <f t="shared" si="19"/>
        <v>2.0000000000000004E-2</v>
      </c>
      <c r="I53" s="70">
        <f t="shared" si="19"/>
        <v>2.0000000000000004E-2</v>
      </c>
      <c r="J53" s="91">
        <f t="shared" si="19"/>
        <v>2.0000000000000004E-2</v>
      </c>
      <c r="K53" s="113">
        <f t="shared" si="19"/>
        <v>2.0000000000000004E-2</v>
      </c>
    </row>
    <row r="54" spans="1:11" x14ac:dyDescent="0.2">
      <c r="A54" s="48"/>
      <c r="B54" s="168"/>
      <c r="C54" s="3" t="s">
        <v>159</v>
      </c>
      <c r="D54" s="39" t="s">
        <v>98</v>
      </c>
      <c r="E54" s="17"/>
      <c r="F54" s="17" t="s">
        <v>98</v>
      </c>
      <c r="G54" s="73">
        <v>0.85</v>
      </c>
      <c r="H54" s="91">
        <f t="shared" si="19"/>
        <v>0.17</v>
      </c>
      <c r="I54" s="70">
        <f t="shared" si="19"/>
        <v>0.17</v>
      </c>
      <c r="J54" s="91">
        <f t="shared" si="19"/>
        <v>0.17</v>
      </c>
      <c r="K54" s="113">
        <f t="shared" si="19"/>
        <v>0.17</v>
      </c>
    </row>
    <row r="55" spans="1:11" x14ac:dyDescent="0.2">
      <c r="A55" s="48"/>
      <c r="B55" s="168"/>
      <c r="C55" s="14" t="s">
        <v>160</v>
      </c>
      <c r="D55" s="39" t="s">
        <v>98</v>
      </c>
      <c r="E55" s="17"/>
      <c r="F55" s="17" t="s">
        <v>98</v>
      </c>
      <c r="G55" s="73">
        <v>0.5</v>
      </c>
      <c r="H55" s="91">
        <f t="shared" si="19"/>
        <v>0.1</v>
      </c>
      <c r="I55" s="70">
        <f t="shared" si="19"/>
        <v>0.1</v>
      </c>
      <c r="J55" s="91">
        <f t="shared" si="19"/>
        <v>0.1</v>
      </c>
      <c r="K55" s="113">
        <f t="shared" si="19"/>
        <v>0.1</v>
      </c>
    </row>
    <row r="56" spans="1:11" x14ac:dyDescent="0.2">
      <c r="A56" s="48"/>
      <c r="B56" s="168"/>
      <c r="C56" s="3" t="s">
        <v>175</v>
      </c>
      <c r="D56" s="39" t="s">
        <v>98</v>
      </c>
      <c r="E56" s="17"/>
      <c r="F56" s="17" t="s">
        <v>98</v>
      </c>
      <c r="G56" s="73">
        <v>0.85</v>
      </c>
      <c r="H56" s="91">
        <f t="shared" si="19"/>
        <v>0.17</v>
      </c>
      <c r="I56" s="70">
        <f t="shared" si="19"/>
        <v>0.17</v>
      </c>
      <c r="J56" s="91">
        <f t="shared" si="19"/>
        <v>0.17</v>
      </c>
      <c r="K56" s="113">
        <f t="shared" si="19"/>
        <v>0.17</v>
      </c>
    </row>
    <row r="57" spans="1:11" x14ac:dyDescent="0.2">
      <c r="A57" s="48"/>
      <c r="B57" s="168"/>
      <c r="C57" s="3" t="s">
        <v>161</v>
      </c>
      <c r="D57" s="39" t="s">
        <v>98</v>
      </c>
      <c r="E57" s="17"/>
      <c r="F57" s="17" t="s">
        <v>98</v>
      </c>
      <c r="G57" s="73">
        <v>2</v>
      </c>
      <c r="H57" s="91">
        <f t="shared" si="19"/>
        <v>0.4</v>
      </c>
      <c r="I57" s="70">
        <f t="shared" si="19"/>
        <v>0.4</v>
      </c>
      <c r="J57" s="91">
        <f t="shared" si="19"/>
        <v>0.4</v>
      </c>
      <c r="K57" s="113">
        <f t="shared" si="19"/>
        <v>0.4</v>
      </c>
    </row>
    <row r="58" spans="1:11" x14ac:dyDescent="0.2">
      <c r="A58" s="48"/>
      <c r="B58" s="168"/>
      <c r="C58" s="3" t="s">
        <v>434</v>
      </c>
      <c r="D58" s="39" t="s">
        <v>98</v>
      </c>
      <c r="E58" s="17"/>
      <c r="F58" s="17"/>
      <c r="G58" s="73">
        <v>0.5</v>
      </c>
      <c r="H58" s="91">
        <f t="shared" si="19"/>
        <v>0.1</v>
      </c>
      <c r="I58" s="70">
        <f t="shared" si="19"/>
        <v>0.1</v>
      </c>
      <c r="J58" s="91">
        <f t="shared" si="19"/>
        <v>0.1</v>
      </c>
      <c r="K58" s="113">
        <f t="shared" si="19"/>
        <v>0.1</v>
      </c>
    </row>
    <row r="59" spans="1:11" x14ac:dyDescent="0.2">
      <c r="A59" s="48"/>
      <c r="B59" s="168"/>
      <c r="C59" s="14" t="s">
        <v>162</v>
      </c>
      <c r="D59" s="39" t="s">
        <v>98</v>
      </c>
      <c r="E59" s="17"/>
      <c r="F59" s="17" t="s">
        <v>98</v>
      </c>
      <c r="G59" s="73">
        <v>0.5</v>
      </c>
      <c r="H59" s="91">
        <f t="shared" si="19"/>
        <v>0.1</v>
      </c>
      <c r="I59" s="70">
        <f t="shared" si="19"/>
        <v>0.1</v>
      </c>
      <c r="J59" s="91">
        <f t="shared" si="19"/>
        <v>0.1</v>
      </c>
      <c r="K59" s="113">
        <f t="shared" si="19"/>
        <v>0.1</v>
      </c>
    </row>
    <row r="60" spans="1:11" x14ac:dyDescent="0.2">
      <c r="A60" s="48"/>
      <c r="B60" s="168"/>
      <c r="C60" s="3" t="s">
        <v>163</v>
      </c>
      <c r="D60" s="39" t="s">
        <v>98</v>
      </c>
      <c r="E60" s="17"/>
      <c r="F60" s="17" t="s">
        <v>98</v>
      </c>
      <c r="G60" s="73">
        <v>4</v>
      </c>
      <c r="H60" s="91">
        <f t="shared" si="19"/>
        <v>0.8</v>
      </c>
      <c r="I60" s="70">
        <f t="shared" si="19"/>
        <v>0.8</v>
      </c>
      <c r="J60" s="91">
        <f t="shared" si="19"/>
        <v>0.8</v>
      </c>
      <c r="K60" s="113">
        <f t="shared" si="19"/>
        <v>0.8</v>
      </c>
    </row>
    <row r="61" spans="1:11" x14ac:dyDescent="0.2">
      <c r="A61" s="48"/>
      <c r="B61" s="168"/>
      <c r="C61" s="3" t="s">
        <v>435</v>
      </c>
      <c r="D61" s="39" t="s">
        <v>98</v>
      </c>
      <c r="E61" s="17"/>
      <c r="F61" s="17"/>
      <c r="G61" s="73">
        <v>0.5</v>
      </c>
      <c r="H61" s="91">
        <f t="shared" si="19"/>
        <v>0.1</v>
      </c>
      <c r="I61" s="70">
        <f t="shared" si="19"/>
        <v>0.1</v>
      </c>
      <c r="J61" s="91">
        <f t="shared" si="19"/>
        <v>0.1</v>
      </c>
      <c r="K61" s="113">
        <f t="shared" si="19"/>
        <v>0.1</v>
      </c>
    </row>
    <row r="62" spans="1:11" x14ac:dyDescent="0.2">
      <c r="A62" s="48"/>
      <c r="B62" s="168"/>
      <c r="C62" s="14" t="s">
        <v>164</v>
      </c>
      <c r="D62" s="39" t="s">
        <v>98</v>
      </c>
      <c r="E62" s="17"/>
      <c r="F62" s="17" t="s">
        <v>98</v>
      </c>
      <c r="G62" s="73">
        <v>0.5</v>
      </c>
      <c r="H62" s="91">
        <f t="shared" si="19"/>
        <v>0.1</v>
      </c>
      <c r="I62" s="70">
        <f t="shared" si="19"/>
        <v>0.1</v>
      </c>
      <c r="J62" s="91">
        <f t="shared" si="19"/>
        <v>0.1</v>
      </c>
      <c r="K62" s="113">
        <f t="shared" si="19"/>
        <v>0.1</v>
      </c>
    </row>
    <row r="63" spans="1:11" x14ac:dyDescent="0.2">
      <c r="A63" s="48"/>
      <c r="B63" s="168"/>
      <c r="C63" s="3" t="s">
        <v>165</v>
      </c>
      <c r="D63" s="39" t="s">
        <v>98</v>
      </c>
      <c r="E63" s="17"/>
      <c r="F63" s="17" t="s">
        <v>98</v>
      </c>
      <c r="G63" s="73">
        <v>3</v>
      </c>
      <c r="H63" s="91">
        <f t="shared" si="19"/>
        <v>0.60000000000000009</v>
      </c>
      <c r="I63" s="70">
        <f t="shared" si="19"/>
        <v>0.60000000000000009</v>
      </c>
      <c r="J63" s="91">
        <f t="shared" si="19"/>
        <v>0.60000000000000009</v>
      </c>
      <c r="K63" s="113">
        <f t="shared" si="19"/>
        <v>0.60000000000000009</v>
      </c>
    </row>
    <row r="64" spans="1:11" x14ac:dyDescent="0.2">
      <c r="A64" s="48"/>
      <c r="B64" s="168"/>
      <c r="C64" s="3" t="s">
        <v>436</v>
      </c>
      <c r="D64" s="39" t="s">
        <v>98</v>
      </c>
      <c r="E64" s="17"/>
      <c r="F64" s="17"/>
      <c r="G64" s="73">
        <v>0.5</v>
      </c>
      <c r="H64" s="91">
        <f t="shared" si="19"/>
        <v>0.1</v>
      </c>
      <c r="I64" s="70">
        <f t="shared" si="19"/>
        <v>0.1</v>
      </c>
      <c r="J64" s="91">
        <f t="shared" si="19"/>
        <v>0.1</v>
      </c>
      <c r="K64" s="113">
        <f t="shared" si="19"/>
        <v>0.1</v>
      </c>
    </row>
    <row r="65" spans="1:11" x14ac:dyDescent="0.2">
      <c r="A65" s="48"/>
      <c r="B65" s="168"/>
      <c r="C65" s="14" t="s">
        <v>167</v>
      </c>
      <c r="D65" s="39" t="s">
        <v>98</v>
      </c>
      <c r="E65" s="17"/>
      <c r="F65" s="17" t="s">
        <v>98</v>
      </c>
      <c r="G65" s="73">
        <v>0.5</v>
      </c>
      <c r="H65" s="91">
        <f t="shared" si="19"/>
        <v>0.1</v>
      </c>
      <c r="I65" s="70">
        <f t="shared" si="19"/>
        <v>0.1</v>
      </c>
      <c r="J65" s="91">
        <f t="shared" si="19"/>
        <v>0.1</v>
      </c>
      <c r="K65" s="113">
        <f t="shared" si="19"/>
        <v>0.1</v>
      </c>
    </row>
    <row r="66" spans="1:11" ht="13.5" thickBot="1" x14ac:dyDescent="0.25">
      <c r="A66" s="48"/>
      <c r="B66" s="49"/>
      <c r="C66" s="30" t="s">
        <v>176</v>
      </c>
      <c r="D66" s="43" t="s">
        <v>98</v>
      </c>
      <c r="E66" s="31"/>
      <c r="F66" s="31" t="s">
        <v>98</v>
      </c>
      <c r="G66" s="71">
        <v>0.5</v>
      </c>
      <c r="H66" s="92">
        <f t="shared" si="19"/>
        <v>0.1</v>
      </c>
      <c r="I66" s="71">
        <f t="shared" si="19"/>
        <v>0.1</v>
      </c>
      <c r="J66" s="92">
        <f t="shared" si="19"/>
        <v>0.1</v>
      </c>
      <c r="K66" s="114">
        <f t="shared" si="19"/>
        <v>0.1</v>
      </c>
    </row>
    <row r="67" spans="1:11" x14ac:dyDescent="0.2">
      <c r="A67" s="165" t="s">
        <v>320</v>
      </c>
      <c r="B67" s="48" t="s">
        <v>318</v>
      </c>
      <c r="C67" s="3" t="s">
        <v>156</v>
      </c>
      <c r="D67" s="42" t="s">
        <v>98</v>
      </c>
      <c r="E67" s="17"/>
      <c r="F67" s="17" t="s">
        <v>98</v>
      </c>
      <c r="G67" s="70">
        <v>3</v>
      </c>
      <c r="H67" s="91">
        <v>3</v>
      </c>
      <c r="I67" s="70">
        <v>3</v>
      </c>
      <c r="J67" s="91">
        <v>3</v>
      </c>
      <c r="K67" s="113">
        <v>3</v>
      </c>
    </row>
    <row r="68" spans="1:11" x14ac:dyDescent="0.2">
      <c r="A68" s="48"/>
      <c r="B68" s="48"/>
      <c r="C68" s="3" t="s">
        <v>153</v>
      </c>
      <c r="D68" s="39" t="s">
        <v>98</v>
      </c>
      <c r="E68" s="17"/>
      <c r="F68" s="17" t="s">
        <v>98</v>
      </c>
      <c r="G68" s="73">
        <v>3</v>
      </c>
      <c r="H68" s="93">
        <v>3</v>
      </c>
      <c r="I68" s="73">
        <v>3</v>
      </c>
      <c r="J68" s="93">
        <v>3</v>
      </c>
      <c r="K68" s="115">
        <v>3</v>
      </c>
    </row>
    <row r="69" spans="1:11" x14ac:dyDescent="0.2">
      <c r="A69" s="48"/>
      <c r="B69" s="48"/>
      <c r="C69" s="3" t="s">
        <v>154</v>
      </c>
      <c r="D69" s="39" t="s">
        <v>98</v>
      </c>
      <c r="E69" s="17"/>
      <c r="F69" s="17" t="s">
        <v>98</v>
      </c>
      <c r="G69" s="73">
        <v>3</v>
      </c>
      <c r="H69" s="93">
        <v>3</v>
      </c>
      <c r="I69" s="73">
        <v>3</v>
      </c>
      <c r="J69" s="93">
        <v>3</v>
      </c>
      <c r="K69" s="115">
        <v>3</v>
      </c>
    </row>
    <row r="70" spans="1:11" x14ac:dyDescent="0.2">
      <c r="A70" s="48"/>
      <c r="B70" s="48"/>
      <c r="C70" s="3" t="s">
        <v>155</v>
      </c>
      <c r="D70" s="39" t="s">
        <v>98</v>
      </c>
      <c r="E70" s="17"/>
      <c r="F70" s="17" t="s">
        <v>98</v>
      </c>
      <c r="G70" s="73">
        <v>3</v>
      </c>
      <c r="H70" s="93">
        <v>3</v>
      </c>
      <c r="I70" s="73">
        <v>3</v>
      </c>
      <c r="J70" s="93">
        <v>3</v>
      </c>
      <c r="K70" s="115">
        <v>3</v>
      </c>
    </row>
    <row r="71" spans="1:11" x14ac:dyDescent="0.2">
      <c r="A71" s="48"/>
      <c r="B71" s="48"/>
      <c r="C71" s="3" t="s">
        <v>174</v>
      </c>
      <c r="D71" s="39" t="s">
        <v>98</v>
      </c>
      <c r="E71" s="17"/>
      <c r="F71" s="17" t="s">
        <v>98</v>
      </c>
      <c r="G71" s="73">
        <v>3</v>
      </c>
      <c r="H71" s="93">
        <v>3</v>
      </c>
      <c r="I71" s="73">
        <v>3</v>
      </c>
      <c r="J71" s="93">
        <v>3</v>
      </c>
      <c r="K71" s="115">
        <v>3</v>
      </c>
    </row>
    <row r="72" spans="1:11" x14ac:dyDescent="0.2">
      <c r="A72" s="48"/>
      <c r="B72" s="48"/>
      <c r="C72" s="3" t="s">
        <v>157</v>
      </c>
      <c r="D72" s="39" t="s">
        <v>98</v>
      </c>
      <c r="E72" s="17"/>
      <c r="F72" s="17" t="s">
        <v>98</v>
      </c>
      <c r="G72" s="73">
        <v>4</v>
      </c>
      <c r="H72" s="93">
        <v>4</v>
      </c>
      <c r="I72" s="73">
        <v>4</v>
      </c>
      <c r="J72" s="93">
        <v>4</v>
      </c>
      <c r="K72" s="115">
        <v>4</v>
      </c>
    </row>
    <row r="73" spans="1:11" x14ac:dyDescent="0.2">
      <c r="A73" s="48"/>
      <c r="B73" s="48"/>
      <c r="C73" s="3" t="s">
        <v>158</v>
      </c>
      <c r="D73" s="39" t="s">
        <v>98</v>
      </c>
      <c r="E73" s="17"/>
      <c r="F73" s="17" t="s">
        <v>98</v>
      </c>
      <c r="G73" s="73">
        <v>4</v>
      </c>
      <c r="H73" s="93">
        <v>4</v>
      </c>
      <c r="I73" s="73">
        <v>4</v>
      </c>
      <c r="J73" s="93">
        <v>4</v>
      </c>
      <c r="K73" s="115">
        <v>4</v>
      </c>
    </row>
    <row r="74" spans="1:11" x14ac:dyDescent="0.2">
      <c r="A74" s="48"/>
      <c r="B74" s="48"/>
      <c r="C74" s="3" t="s">
        <v>159</v>
      </c>
      <c r="D74" s="39" t="s">
        <v>98</v>
      </c>
      <c r="E74" s="17"/>
      <c r="F74" s="17" t="s">
        <v>98</v>
      </c>
      <c r="G74" s="73">
        <v>4</v>
      </c>
      <c r="H74" s="93">
        <v>4</v>
      </c>
      <c r="I74" s="73">
        <v>4</v>
      </c>
      <c r="J74" s="93">
        <v>4</v>
      </c>
      <c r="K74" s="115">
        <v>4</v>
      </c>
    </row>
    <row r="75" spans="1:11" x14ac:dyDescent="0.2">
      <c r="A75" s="48"/>
      <c r="B75" s="48"/>
      <c r="C75" s="3" t="s">
        <v>160</v>
      </c>
      <c r="D75" s="39" t="s">
        <v>98</v>
      </c>
      <c r="E75" s="17"/>
      <c r="F75" s="17" t="s">
        <v>98</v>
      </c>
      <c r="G75" s="73">
        <v>4</v>
      </c>
      <c r="H75" s="93">
        <v>4</v>
      </c>
      <c r="I75" s="73">
        <v>4</v>
      </c>
      <c r="J75" s="93">
        <v>4</v>
      </c>
      <c r="K75" s="115">
        <v>4</v>
      </c>
    </row>
    <row r="76" spans="1:11" x14ac:dyDescent="0.2">
      <c r="A76" s="48"/>
      <c r="B76" s="48"/>
      <c r="C76" s="3" t="s">
        <v>175</v>
      </c>
      <c r="D76" s="39" t="s">
        <v>98</v>
      </c>
      <c r="E76" s="17"/>
      <c r="F76" s="17" t="s">
        <v>98</v>
      </c>
      <c r="G76" s="73">
        <v>4</v>
      </c>
      <c r="H76" s="93">
        <v>4</v>
      </c>
      <c r="I76" s="73">
        <v>4</v>
      </c>
      <c r="J76" s="93">
        <v>4</v>
      </c>
      <c r="K76" s="115">
        <v>4</v>
      </c>
    </row>
    <row r="77" spans="1:11" x14ac:dyDescent="0.2">
      <c r="A77" s="48"/>
      <c r="B77" s="48"/>
      <c r="C77" s="3" t="s">
        <v>161</v>
      </c>
      <c r="D77" s="39" t="s">
        <v>98</v>
      </c>
      <c r="E77" s="17"/>
      <c r="F77" s="17" t="s">
        <v>98</v>
      </c>
      <c r="G77" s="73">
        <v>3</v>
      </c>
      <c r="H77" s="93">
        <v>3</v>
      </c>
      <c r="I77" s="73">
        <v>3</v>
      </c>
      <c r="J77" s="93">
        <v>3</v>
      </c>
      <c r="K77" s="115">
        <v>3</v>
      </c>
    </row>
    <row r="78" spans="1:11" x14ac:dyDescent="0.2">
      <c r="A78" s="48"/>
      <c r="B78" s="48"/>
      <c r="C78" s="3" t="s">
        <v>434</v>
      </c>
      <c r="D78" s="39" t="s">
        <v>98</v>
      </c>
      <c r="E78" s="17"/>
      <c r="F78" s="17"/>
      <c r="G78" s="73">
        <v>3</v>
      </c>
      <c r="H78" s="93">
        <v>3</v>
      </c>
      <c r="I78" s="73">
        <v>3</v>
      </c>
      <c r="J78" s="93">
        <v>3</v>
      </c>
      <c r="K78" s="115">
        <v>3</v>
      </c>
    </row>
    <row r="79" spans="1:11" x14ac:dyDescent="0.2">
      <c r="A79" s="48"/>
      <c r="B79" s="48"/>
      <c r="C79" s="3" t="s">
        <v>162</v>
      </c>
      <c r="D79" s="39" t="s">
        <v>98</v>
      </c>
      <c r="E79" s="17"/>
      <c r="F79" s="17" t="s">
        <v>98</v>
      </c>
      <c r="G79" s="73">
        <v>3</v>
      </c>
      <c r="H79" s="93">
        <v>3</v>
      </c>
      <c r="I79" s="73">
        <v>3</v>
      </c>
      <c r="J79" s="93">
        <v>3</v>
      </c>
      <c r="K79" s="115">
        <v>3</v>
      </c>
    </row>
    <row r="80" spans="1:11" x14ac:dyDescent="0.2">
      <c r="A80" s="48"/>
      <c r="B80" s="48"/>
      <c r="C80" s="3" t="s">
        <v>163</v>
      </c>
      <c r="D80" s="39" t="s">
        <v>98</v>
      </c>
      <c r="E80" s="17"/>
      <c r="F80" s="17" t="s">
        <v>98</v>
      </c>
      <c r="G80" s="73">
        <v>6</v>
      </c>
      <c r="H80" s="93">
        <v>6</v>
      </c>
      <c r="I80" s="73">
        <v>6</v>
      </c>
      <c r="J80" s="93">
        <v>6</v>
      </c>
      <c r="K80" s="115">
        <v>6</v>
      </c>
    </row>
    <row r="81" spans="1:11" x14ac:dyDescent="0.2">
      <c r="A81" s="48"/>
      <c r="B81" s="48"/>
      <c r="C81" s="1" t="s">
        <v>435</v>
      </c>
      <c r="D81" s="39" t="s">
        <v>98</v>
      </c>
      <c r="E81" s="17"/>
      <c r="F81" s="17"/>
      <c r="G81" s="73">
        <v>6</v>
      </c>
      <c r="H81" s="93">
        <v>3</v>
      </c>
      <c r="I81" s="73">
        <v>3</v>
      </c>
      <c r="J81" s="93">
        <v>3</v>
      </c>
      <c r="K81" s="115">
        <v>3</v>
      </c>
    </row>
    <row r="82" spans="1:11" x14ac:dyDescent="0.2">
      <c r="A82" s="48"/>
      <c r="B82" s="48"/>
      <c r="C82" s="3" t="s">
        <v>164</v>
      </c>
      <c r="D82" s="39" t="s">
        <v>98</v>
      </c>
      <c r="E82" s="17"/>
      <c r="F82" s="17" t="s">
        <v>98</v>
      </c>
      <c r="G82" s="73">
        <v>6</v>
      </c>
      <c r="H82" s="93">
        <v>3</v>
      </c>
      <c r="I82" s="73">
        <v>3</v>
      </c>
      <c r="J82" s="93">
        <v>3</v>
      </c>
      <c r="K82" s="115">
        <v>3</v>
      </c>
    </row>
    <row r="83" spans="1:11" x14ac:dyDescent="0.2">
      <c r="A83" s="48"/>
      <c r="B83" s="48"/>
      <c r="C83" s="3" t="s">
        <v>165</v>
      </c>
      <c r="D83" s="39" t="s">
        <v>98</v>
      </c>
      <c r="E83" s="17"/>
      <c r="F83" s="17" t="s">
        <v>98</v>
      </c>
      <c r="G83" s="73">
        <v>3</v>
      </c>
      <c r="H83" s="93">
        <v>3</v>
      </c>
      <c r="I83" s="73">
        <v>3</v>
      </c>
      <c r="J83" s="93">
        <v>3</v>
      </c>
      <c r="K83" s="115">
        <v>3</v>
      </c>
    </row>
    <row r="84" spans="1:11" x14ac:dyDescent="0.2">
      <c r="A84" s="48"/>
      <c r="B84" s="48"/>
      <c r="C84" s="3" t="s">
        <v>436</v>
      </c>
      <c r="D84" s="39" t="s">
        <v>98</v>
      </c>
      <c r="E84" s="17"/>
      <c r="F84" s="17"/>
      <c r="G84" s="73">
        <v>6</v>
      </c>
      <c r="H84" s="93">
        <v>3</v>
      </c>
      <c r="I84" s="73">
        <v>3</v>
      </c>
      <c r="J84" s="93">
        <v>3</v>
      </c>
      <c r="K84" s="115">
        <v>3</v>
      </c>
    </row>
    <row r="85" spans="1:11" x14ac:dyDescent="0.2">
      <c r="A85" s="48"/>
      <c r="B85" s="48"/>
      <c r="C85" s="3" t="s">
        <v>167</v>
      </c>
      <c r="D85" s="39" t="s">
        <v>98</v>
      </c>
      <c r="E85" s="17"/>
      <c r="F85" s="17" t="s">
        <v>98</v>
      </c>
      <c r="G85" s="73">
        <v>6</v>
      </c>
      <c r="H85" s="93">
        <v>3</v>
      </c>
      <c r="I85" s="73">
        <v>3</v>
      </c>
      <c r="J85" s="93">
        <v>3</v>
      </c>
      <c r="K85" s="115">
        <v>3</v>
      </c>
    </row>
    <row r="86" spans="1:11" ht="13.5" thickBot="1" x14ac:dyDescent="0.25">
      <c r="A86" s="48"/>
      <c r="B86" s="51"/>
      <c r="C86" s="30" t="s">
        <v>176</v>
      </c>
      <c r="D86" s="144" t="s">
        <v>98</v>
      </c>
      <c r="E86" s="31"/>
      <c r="F86" s="31" t="s">
        <v>98</v>
      </c>
      <c r="G86" s="71">
        <v>1</v>
      </c>
      <c r="H86" s="92">
        <v>1</v>
      </c>
      <c r="I86" s="71">
        <v>1</v>
      </c>
      <c r="J86" s="92">
        <v>1</v>
      </c>
      <c r="K86" s="114">
        <v>1</v>
      </c>
    </row>
    <row r="87" spans="1:11" x14ac:dyDescent="0.2">
      <c r="A87" s="165" t="s">
        <v>321</v>
      </c>
      <c r="B87" s="48" t="s">
        <v>318</v>
      </c>
      <c r="C87" s="3" t="s">
        <v>156</v>
      </c>
      <c r="D87" s="40" t="s">
        <v>110</v>
      </c>
      <c r="E87" s="17"/>
      <c r="F87" s="17" t="s">
        <v>29</v>
      </c>
      <c r="G87" s="75">
        <f t="shared" ref="G87:K89" si="20">G67*G47*G5</f>
        <v>3996</v>
      </c>
      <c r="H87" s="95">
        <f t="shared" si="20"/>
        <v>811.1880000000001</v>
      </c>
      <c r="I87" s="75">
        <f t="shared" si="20"/>
        <v>823.35581999999999</v>
      </c>
      <c r="J87" s="95">
        <f t="shared" si="20"/>
        <v>835.70615729999997</v>
      </c>
      <c r="K87" s="116">
        <f t="shared" si="20"/>
        <v>848.24174965949987</v>
      </c>
    </row>
    <row r="88" spans="1:11" x14ac:dyDescent="0.2">
      <c r="A88" s="48"/>
      <c r="B88" s="48"/>
      <c r="C88" s="3" t="s">
        <v>153</v>
      </c>
      <c r="D88" s="39" t="s">
        <v>110</v>
      </c>
      <c r="E88" s="17"/>
      <c r="F88" s="17" t="s">
        <v>29</v>
      </c>
      <c r="G88" s="75">
        <f t="shared" si="20"/>
        <v>565.44000000000005</v>
      </c>
      <c r="H88" s="95">
        <f t="shared" si="20"/>
        <v>114.78432000000001</v>
      </c>
      <c r="I88" s="75">
        <f t="shared" si="20"/>
        <v>116.50608479999998</v>
      </c>
      <c r="J88" s="95">
        <f t="shared" si="20"/>
        <v>118.25367607199998</v>
      </c>
      <c r="K88" s="117">
        <f t="shared" si="20"/>
        <v>120.02748121307997</v>
      </c>
    </row>
    <row r="89" spans="1:11" x14ac:dyDescent="0.2">
      <c r="A89" s="48"/>
      <c r="B89" s="48"/>
      <c r="C89" s="3" t="s">
        <v>154</v>
      </c>
      <c r="D89" s="39" t="s">
        <v>111</v>
      </c>
      <c r="E89" s="17"/>
      <c r="F89" s="17" t="s">
        <v>29</v>
      </c>
      <c r="G89" s="75">
        <f t="shared" si="20"/>
        <v>4528.7999999999993</v>
      </c>
      <c r="H89" s="95">
        <f t="shared" si="20"/>
        <v>919.3463999999999</v>
      </c>
      <c r="I89" s="75">
        <f t="shared" si="20"/>
        <v>933.13659599999983</v>
      </c>
      <c r="J89" s="95">
        <f t="shared" si="20"/>
        <v>947.13364493999984</v>
      </c>
      <c r="K89" s="117">
        <f t="shared" si="20"/>
        <v>961.34064961409979</v>
      </c>
    </row>
    <row r="90" spans="1:11" x14ac:dyDescent="0.2">
      <c r="A90" s="48"/>
      <c r="B90" s="48"/>
      <c r="C90" s="3" t="s">
        <v>155</v>
      </c>
      <c r="D90" s="39" t="s">
        <v>49</v>
      </c>
      <c r="E90" s="17"/>
      <c r="F90" s="17" t="s">
        <v>29</v>
      </c>
      <c r="G90" s="75">
        <f>G70*G50*G12</f>
        <v>10800</v>
      </c>
      <c r="H90" s="95">
        <f>H70*H50*H12</f>
        <v>2192.4</v>
      </c>
      <c r="I90" s="75">
        <f>I70*I50*I12</f>
        <v>2225.2859999999996</v>
      </c>
      <c r="J90" s="95">
        <f>J70*J50*J12</f>
        <v>2258.6652899999995</v>
      </c>
      <c r="K90" s="117">
        <f>K70*K50*K12</f>
        <v>2292.5452693499992</v>
      </c>
    </row>
    <row r="91" spans="1:11" x14ac:dyDescent="0.2">
      <c r="A91" s="48"/>
      <c r="B91" s="48"/>
      <c r="C91" s="3" t="s">
        <v>174</v>
      </c>
      <c r="D91" s="39" t="s">
        <v>113</v>
      </c>
      <c r="E91" s="17"/>
      <c r="F91" s="17" t="s">
        <v>29</v>
      </c>
      <c r="G91" s="75">
        <f>G71*G51*G9</f>
        <v>4528.7999999999993</v>
      </c>
      <c r="H91" s="95">
        <f>H71*H51*H9</f>
        <v>919.3463999999999</v>
      </c>
      <c r="I91" s="75">
        <f>I71*I51*I9</f>
        <v>933.13659599999983</v>
      </c>
      <c r="J91" s="95">
        <f>J71*J51*J9</f>
        <v>947.13364493999984</v>
      </c>
      <c r="K91" s="117">
        <f>K71*K51*K9</f>
        <v>961.34064961409979</v>
      </c>
    </row>
    <row r="92" spans="1:11" x14ac:dyDescent="0.2">
      <c r="A92" s="48"/>
      <c r="B92" s="48"/>
      <c r="C92" s="3" t="s">
        <v>157</v>
      </c>
      <c r="D92" s="39" t="s">
        <v>110</v>
      </c>
      <c r="E92" s="17"/>
      <c r="F92" s="17" t="s">
        <v>29</v>
      </c>
      <c r="G92" s="75">
        <f t="shared" ref="G92:K94" si="21">G72*G52*G5</f>
        <v>5328</v>
      </c>
      <c r="H92" s="95">
        <f t="shared" si="21"/>
        <v>1081.5840000000001</v>
      </c>
      <c r="I92" s="75">
        <f t="shared" si="21"/>
        <v>1097.8077599999999</v>
      </c>
      <c r="J92" s="95">
        <f t="shared" si="21"/>
        <v>1114.2748764</v>
      </c>
      <c r="K92" s="117">
        <f t="shared" si="21"/>
        <v>1130.9889995459998</v>
      </c>
    </row>
    <row r="93" spans="1:11" x14ac:dyDescent="0.2">
      <c r="A93" s="48"/>
      <c r="B93" s="48"/>
      <c r="C93" s="3" t="s">
        <v>158</v>
      </c>
      <c r="D93" s="39" t="s">
        <v>110</v>
      </c>
      <c r="E93" s="17"/>
      <c r="F93" s="17" t="s">
        <v>29</v>
      </c>
      <c r="G93" s="75">
        <f t="shared" si="21"/>
        <v>753.92000000000007</v>
      </c>
      <c r="H93" s="95">
        <f t="shared" si="21"/>
        <v>153.04576</v>
      </c>
      <c r="I93" s="75">
        <f t="shared" si="21"/>
        <v>155.34144639999997</v>
      </c>
      <c r="J93" s="95">
        <f t="shared" si="21"/>
        <v>157.67156809599996</v>
      </c>
      <c r="K93" s="117">
        <f t="shared" si="21"/>
        <v>160.03664161743995</v>
      </c>
    </row>
    <row r="94" spans="1:11" x14ac:dyDescent="0.2">
      <c r="A94" s="48"/>
      <c r="B94" s="48"/>
      <c r="C94" s="3" t="s">
        <v>159</v>
      </c>
      <c r="D94" s="39" t="s">
        <v>111</v>
      </c>
      <c r="E94" s="17"/>
      <c r="F94" s="17" t="s">
        <v>29</v>
      </c>
      <c r="G94" s="75">
        <f t="shared" si="21"/>
        <v>6038.4</v>
      </c>
      <c r="H94" s="95">
        <f t="shared" si="21"/>
        <v>1225.7952</v>
      </c>
      <c r="I94" s="75">
        <f t="shared" si="21"/>
        <v>1244.1821279999999</v>
      </c>
      <c r="J94" s="95">
        <f t="shared" si="21"/>
        <v>1262.8448599199999</v>
      </c>
      <c r="K94" s="117">
        <f t="shared" si="21"/>
        <v>1281.7875328187997</v>
      </c>
    </row>
    <row r="95" spans="1:11" x14ac:dyDescent="0.2">
      <c r="A95" s="48"/>
      <c r="B95" s="48"/>
      <c r="C95" s="3" t="s">
        <v>160</v>
      </c>
      <c r="D95" s="39" t="s">
        <v>49</v>
      </c>
      <c r="E95" s="17"/>
      <c r="F95" s="17" t="s">
        <v>29</v>
      </c>
      <c r="G95" s="75">
        <f>G75*G55*G12</f>
        <v>14400</v>
      </c>
      <c r="H95" s="95">
        <f>H75*H55*H12</f>
        <v>2923.2</v>
      </c>
      <c r="I95" s="75">
        <f>I75*I55*I12</f>
        <v>2967.0479999999993</v>
      </c>
      <c r="J95" s="95">
        <f>J75*J55*J12</f>
        <v>3011.553719999999</v>
      </c>
      <c r="K95" s="117">
        <f>K75*K55*K12</f>
        <v>3056.727025799999</v>
      </c>
    </row>
    <row r="96" spans="1:11" x14ac:dyDescent="0.2">
      <c r="A96" s="48"/>
      <c r="B96" s="48"/>
      <c r="C96" s="3" t="s">
        <v>175</v>
      </c>
      <c r="D96" s="39" t="s">
        <v>113</v>
      </c>
      <c r="E96" s="17"/>
      <c r="F96" s="17" t="s">
        <v>29</v>
      </c>
      <c r="G96" s="75">
        <f>G76*G56*G9</f>
        <v>6038.4</v>
      </c>
      <c r="H96" s="95">
        <f>H76*H56*H9</f>
        <v>1225.7952</v>
      </c>
      <c r="I96" s="75">
        <f>I76*I56*I9</f>
        <v>1244.1821279999999</v>
      </c>
      <c r="J96" s="95">
        <f>J76*J56*J9</f>
        <v>1262.8448599199999</v>
      </c>
      <c r="K96" s="117">
        <f>K76*K56*K9</f>
        <v>1281.7875328187997</v>
      </c>
    </row>
    <row r="97" spans="1:11" x14ac:dyDescent="0.2">
      <c r="A97" s="48"/>
      <c r="B97" s="48"/>
      <c r="C97" s="3" t="s">
        <v>161</v>
      </c>
      <c r="D97" s="39" t="s">
        <v>110</v>
      </c>
      <c r="E97" s="17"/>
      <c r="F97" s="17" t="s">
        <v>29</v>
      </c>
      <c r="G97" s="75">
        <f>G77*G57*G6</f>
        <v>11308.8</v>
      </c>
      <c r="H97" s="95">
        <f>H77*H57*H6</f>
        <v>2295.6864</v>
      </c>
      <c r="I97" s="75">
        <f>I77*I57*I6</f>
        <v>2330.1216959999997</v>
      </c>
      <c r="J97" s="95">
        <f>J77*J57*J6</f>
        <v>2365.0735214399992</v>
      </c>
      <c r="K97" s="117">
        <f>K77*K57*K6</f>
        <v>2400.5496242615991</v>
      </c>
    </row>
    <row r="98" spans="1:11" x14ac:dyDescent="0.2">
      <c r="A98" s="48"/>
      <c r="B98" s="48"/>
      <c r="C98" s="3" t="s">
        <v>434</v>
      </c>
      <c r="D98" s="39" t="s">
        <v>110</v>
      </c>
      <c r="E98" s="17"/>
      <c r="F98" s="17"/>
      <c r="G98" s="75">
        <f>G78*G58*G5</f>
        <v>2664</v>
      </c>
      <c r="H98" s="95">
        <f t="shared" ref="H98:K98" si="22">H78*H58*H5</f>
        <v>540.79200000000003</v>
      </c>
      <c r="I98" s="75">
        <f t="shared" si="22"/>
        <v>548.90387999999996</v>
      </c>
      <c r="J98" s="95">
        <f t="shared" si="22"/>
        <v>557.13743820000002</v>
      </c>
      <c r="K98" s="117">
        <f t="shared" si="22"/>
        <v>565.49449977299992</v>
      </c>
    </row>
    <row r="99" spans="1:11" x14ac:dyDescent="0.2">
      <c r="A99" s="48"/>
      <c r="B99" s="48"/>
      <c r="C99" s="3" t="s">
        <v>162</v>
      </c>
      <c r="D99" s="39" t="s">
        <v>49</v>
      </c>
      <c r="E99" s="17"/>
      <c r="F99" s="17" t="s">
        <v>29</v>
      </c>
      <c r="G99" s="75">
        <f>G79*G59*G12</f>
        <v>10800</v>
      </c>
      <c r="H99" s="95">
        <f>H79*H59*H12</f>
        <v>2192.4</v>
      </c>
      <c r="I99" s="75">
        <f>I79*I59*I12</f>
        <v>2225.2859999999996</v>
      </c>
      <c r="J99" s="95">
        <f>J79*J59*J12</f>
        <v>2258.6652899999995</v>
      </c>
      <c r="K99" s="117">
        <f>K79*K59*K12</f>
        <v>2292.5452693499992</v>
      </c>
    </row>
    <row r="100" spans="1:11" x14ac:dyDescent="0.2">
      <c r="A100" s="48"/>
      <c r="B100" s="48"/>
      <c r="C100" s="3" t="s">
        <v>163</v>
      </c>
      <c r="D100" s="39" t="s">
        <v>110</v>
      </c>
      <c r="E100" s="17"/>
      <c r="F100" s="17" t="s">
        <v>29</v>
      </c>
      <c r="G100" s="75">
        <f>G80*G60*G7</f>
        <v>42624</v>
      </c>
      <c r="H100" s="95">
        <f>H80*H60*H7</f>
        <v>8652.6720000000005</v>
      </c>
      <c r="I100" s="75">
        <f>I80*I60*I7</f>
        <v>8782.4620799999993</v>
      </c>
      <c r="J100" s="95">
        <f>J80*J60*J7</f>
        <v>8914.1990112000003</v>
      </c>
      <c r="K100" s="117">
        <f>K80*K60*K7</f>
        <v>9047.9119963679987</v>
      </c>
    </row>
    <row r="101" spans="1:11" x14ac:dyDescent="0.2">
      <c r="A101" s="48"/>
      <c r="B101" s="48"/>
      <c r="C101" s="3" t="s">
        <v>435</v>
      </c>
      <c r="D101" s="39" t="s">
        <v>110</v>
      </c>
      <c r="E101" s="17"/>
      <c r="F101" s="17"/>
      <c r="G101" s="75">
        <f>G81*G61*G5</f>
        <v>5328</v>
      </c>
      <c r="H101" s="95">
        <f t="shared" ref="H101:K101" si="23">H81*H61*H5</f>
        <v>540.79200000000003</v>
      </c>
      <c r="I101" s="75">
        <f t="shared" si="23"/>
        <v>548.90387999999996</v>
      </c>
      <c r="J101" s="95">
        <f t="shared" si="23"/>
        <v>557.13743820000002</v>
      </c>
      <c r="K101" s="117">
        <f t="shared" si="23"/>
        <v>565.49449977299992</v>
      </c>
    </row>
    <row r="102" spans="1:11" x14ac:dyDescent="0.2">
      <c r="A102" s="48"/>
      <c r="B102" s="48"/>
      <c r="C102" s="3" t="s">
        <v>164</v>
      </c>
      <c r="D102" s="39" t="s">
        <v>49</v>
      </c>
      <c r="E102" s="17"/>
      <c r="F102" s="17" t="s">
        <v>29</v>
      </c>
      <c r="G102" s="75">
        <f>G82*G62*G12</f>
        <v>21600</v>
      </c>
      <c r="H102" s="95">
        <f>H82*H62*H12</f>
        <v>2192.4</v>
      </c>
      <c r="I102" s="75">
        <f>I82*I62*I12</f>
        <v>2225.2859999999996</v>
      </c>
      <c r="J102" s="95">
        <f>J82*J62*J12</f>
        <v>2258.6652899999995</v>
      </c>
      <c r="K102" s="117">
        <f>K82*K62*K12</f>
        <v>2292.5452693499992</v>
      </c>
    </row>
    <row r="103" spans="1:11" x14ac:dyDescent="0.2">
      <c r="A103" s="48"/>
      <c r="B103" s="48"/>
      <c r="C103" s="3" t="s">
        <v>165</v>
      </c>
      <c r="D103" s="39" t="s">
        <v>110</v>
      </c>
      <c r="E103" s="17"/>
      <c r="F103" s="17" t="s">
        <v>29</v>
      </c>
      <c r="G103" s="75">
        <f>G83*G63*G6</f>
        <v>16963.2</v>
      </c>
      <c r="H103" s="95">
        <f>H83*H63*H6</f>
        <v>3443.5295999999998</v>
      </c>
      <c r="I103" s="75">
        <f>I83*I63*I6</f>
        <v>3495.1825439999993</v>
      </c>
      <c r="J103" s="95">
        <f>J83*J63*J6</f>
        <v>3547.6102821599993</v>
      </c>
      <c r="K103" s="117">
        <f>K83*K63*K6</f>
        <v>3600.8244363923991</v>
      </c>
    </row>
    <row r="104" spans="1:11" x14ac:dyDescent="0.2">
      <c r="A104" s="48"/>
      <c r="B104" s="48"/>
      <c r="C104" s="3" t="s">
        <v>436</v>
      </c>
      <c r="D104" s="39" t="s">
        <v>110</v>
      </c>
      <c r="E104" s="17"/>
      <c r="F104" s="17"/>
      <c r="G104" s="75">
        <f>G84*G64*G5</f>
        <v>5328</v>
      </c>
      <c r="H104" s="95">
        <f t="shared" ref="H104:K104" si="24">H84*H64*H5</f>
        <v>540.79200000000003</v>
      </c>
      <c r="I104" s="75">
        <f t="shared" si="24"/>
        <v>548.90387999999996</v>
      </c>
      <c r="J104" s="95">
        <f t="shared" si="24"/>
        <v>557.13743820000002</v>
      </c>
      <c r="K104" s="117">
        <f t="shared" si="24"/>
        <v>565.49449977299992</v>
      </c>
    </row>
    <row r="105" spans="1:11" x14ac:dyDescent="0.2">
      <c r="A105" s="48"/>
      <c r="B105" s="48"/>
      <c r="C105" s="3" t="s">
        <v>167</v>
      </c>
      <c r="D105" s="39" t="s">
        <v>49</v>
      </c>
      <c r="E105" s="17"/>
      <c r="F105" s="17" t="s">
        <v>29</v>
      </c>
      <c r="G105" s="75">
        <f>G85*G65*G12</f>
        <v>21600</v>
      </c>
      <c r="H105" s="95">
        <f>H85*H65*H12</f>
        <v>2192.4</v>
      </c>
      <c r="I105" s="75">
        <f>I85*I65*I12</f>
        <v>2225.2859999999996</v>
      </c>
      <c r="J105" s="95">
        <f>J85*J65*J12</f>
        <v>2258.6652899999995</v>
      </c>
      <c r="K105" s="117">
        <f>K85*K65*K12</f>
        <v>2292.5452693499992</v>
      </c>
    </row>
    <row r="106" spans="1:11" x14ac:dyDescent="0.2">
      <c r="A106" s="48"/>
      <c r="B106" s="48"/>
      <c r="C106" s="11" t="s">
        <v>166</v>
      </c>
      <c r="D106" s="43" t="s">
        <v>110</v>
      </c>
      <c r="E106" s="18"/>
      <c r="F106" s="18" t="s">
        <v>29</v>
      </c>
      <c r="G106" s="76">
        <f>G86*G66*G6</f>
        <v>942.4</v>
      </c>
      <c r="H106" s="96">
        <f>H86*H66*H6</f>
        <v>191.30719999999997</v>
      </c>
      <c r="I106" s="76">
        <f>I86*I66*I6</f>
        <v>194.17680799999994</v>
      </c>
      <c r="J106" s="96">
        <f>J86*J66*J6</f>
        <v>197.08946011999993</v>
      </c>
      <c r="K106" s="175">
        <f>K86*K66*K6</f>
        <v>200.04580202179991</v>
      </c>
    </row>
    <row r="107" spans="1:11" x14ac:dyDescent="0.2">
      <c r="A107" s="48"/>
      <c r="B107" s="168"/>
      <c r="C107" s="3" t="s">
        <v>168</v>
      </c>
      <c r="D107" s="39" t="s">
        <v>98</v>
      </c>
      <c r="E107" s="17"/>
      <c r="F107" s="17" t="s">
        <v>98</v>
      </c>
      <c r="G107" s="75">
        <f>SUM(G87:G91)</f>
        <v>24419.039999999997</v>
      </c>
      <c r="H107" s="95">
        <f t="shared" ref="H107:K107" si="25">SUM(H87:H91)</f>
        <v>4957.0651199999993</v>
      </c>
      <c r="I107" s="75">
        <f t="shared" si="25"/>
        <v>5031.4210967999988</v>
      </c>
      <c r="J107" s="95">
        <f t="shared" si="25"/>
        <v>5106.8924132519987</v>
      </c>
      <c r="K107" s="117">
        <f t="shared" si="25"/>
        <v>5183.4957994507786</v>
      </c>
    </row>
    <row r="108" spans="1:11" x14ac:dyDescent="0.2">
      <c r="A108" s="48"/>
      <c r="B108" s="168"/>
      <c r="C108" s="3" t="s">
        <v>169</v>
      </c>
      <c r="D108" s="39" t="s">
        <v>98</v>
      </c>
      <c r="E108" s="17"/>
      <c r="F108" s="17" t="s">
        <v>98</v>
      </c>
      <c r="G108" s="75">
        <f>SUM(G92:G96)</f>
        <v>32558.720000000001</v>
      </c>
      <c r="H108" s="95">
        <f t="shared" ref="H108:K108" si="26">SUM(H92:H96)</f>
        <v>6609.4201599999997</v>
      </c>
      <c r="I108" s="75">
        <f t="shared" si="26"/>
        <v>6708.5614623999991</v>
      </c>
      <c r="J108" s="95">
        <f t="shared" si="26"/>
        <v>6809.1898843359986</v>
      </c>
      <c r="K108" s="117">
        <f t="shared" si="26"/>
        <v>6911.3277326010375</v>
      </c>
    </row>
    <row r="109" spans="1:11" x14ac:dyDescent="0.2">
      <c r="A109" s="48"/>
      <c r="B109" s="168"/>
      <c r="C109" s="3" t="s">
        <v>170</v>
      </c>
      <c r="D109" s="39" t="s">
        <v>98</v>
      </c>
      <c r="E109" s="17"/>
      <c r="F109" s="17" t="s">
        <v>98</v>
      </c>
      <c r="G109" s="75">
        <f>SUM(G97:G99)</f>
        <v>24772.799999999999</v>
      </c>
      <c r="H109" s="95">
        <f t="shared" ref="H109:K109" si="27">SUM(H97:H99)</f>
        <v>5028.8783999999996</v>
      </c>
      <c r="I109" s="75">
        <f t="shared" si="27"/>
        <v>5104.3115759999991</v>
      </c>
      <c r="J109" s="95">
        <f t="shared" si="27"/>
        <v>5180.8762496399986</v>
      </c>
      <c r="K109" s="117">
        <f t="shared" si="27"/>
        <v>5258.5893933845982</v>
      </c>
    </row>
    <row r="110" spans="1:11" x14ac:dyDescent="0.2">
      <c r="A110" s="48"/>
      <c r="B110" s="168"/>
      <c r="C110" s="3" t="s">
        <v>171</v>
      </c>
      <c r="D110" s="39" t="s">
        <v>98</v>
      </c>
      <c r="E110" s="17"/>
      <c r="F110" s="17" t="s">
        <v>98</v>
      </c>
      <c r="G110" s="75">
        <f>SUM(G100:G102)</f>
        <v>69552</v>
      </c>
      <c r="H110" s="95">
        <f t="shared" ref="H110:K110" si="28">SUM(H100:H102)</f>
        <v>11385.864</v>
      </c>
      <c r="I110" s="75">
        <f t="shared" si="28"/>
        <v>11556.651959999999</v>
      </c>
      <c r="J110" s="95">
        <f t="shared" si="28"/>
        <v>11730.001739399999</v>
      </c>
      <c r="K110" s="117">
        <f t="shared" si="28"/>
        <v>11905.951765490998</v>
      </c>
    </row>
    <row r="111" spans="1:11" x14ac:dyDescent="0.2">
      <c r="A111" s="48"/>
      <c r="B111" s="168"/>
      <c r="C111" s="3" t="s">
        <v>172</v>
      </c>
      <c r="D111" s="39" t="s">
        <v>98</v>
      </c>
      <c r="E111" s="17"/>
      <c r="F111" s="17" t="s">
        <v>98</v>
      </c>
      <c r="G111" s="75">
        <f>SUM(G103)</f>
        <v>16963.2</v>
      </c>
      <c r="H111" s="95">
        <f t="shared" ref="H111:K111" si="29">SUM(H103)</f>
        <v>3443.5295999999998</v>
      </c>
      <c r="I111" s="75">
        <f t="shared" si="29"/>
        <v>3495.1825439999993</v>
      </c>
      <c r="J111" s="95">
        <f t="shared" si="29"/>
        <v>3547.6102821599993</v>
      </c>
      <c r="K111" s="117">
        <f t="shared" si="29"/>
        <v>3600.8244363923991</v>
      </c>
    </row>
    <row r="112" spans="1:11" x14ac:dyDescent="0.2">
      <c r="A112" s="48"/>
      <c r="B112" s="168"/>
      <c r="C112" s="11" t="s">
        <v>173</v>
      </c>
      <c r="D112" s="39" t="s">
        <v>98</v>
      </c>
      <c r="E112" s="18"/>
      <c r="F112" s="17" t="s">
        <v>98</v>
      </c>
      <c r="G112" s="76">
        <f>SUM(G104:G105)</f>
        <v>26928</v>
      </c>
      <c r="H112" s="96">
        <f t="shared" ref="H112:K112" si="30">SUM(H104:H105)</f>
        <v>2733.192</v>
      </c>
      <c r="I112" s="76">
        <f t="shared" si="30"/>
        <v>2774.1898799999994</v>
      </c>
      <c r="J112" s="96">
        <f t="shared" si="30"/>
        <v>2815.8027281999994</v>
      </c>
      <c r="K112" s="175">
        <f t="shared" si="30"/>
        <v>2858.0397691229991</v>
      </c>
    </row>
    <row r="113" spans="1:17" x14ac:dyDescent="0.2">
      <c r="A113" s="48"/>
      <c r="B113" s="168"/>
      <c r="C113" s="11" t="s">
        <v>177</v>
      </c>
      <c r="D113" s="44" t="s">
        <v>98</v>
      </c>
      <c r="E113" s="18"/>
      <c r="F113" s="18" t="s">
        <v>98</v>
      </c>
      <c r="G113" s="76">
        <f>SUM(G106)</f>
        <v>942.4</v>
      </c>
      <c r="H113" s="96">
        <f t="shared" ref="H113:K113" si="31">SUM(H106)</f>
        <v>191.30719999999997</v>
      </c>
      <c r="I113" s="76">
        <f t="shared" si="31"/>
        <v>194.17680799999994</v>
      </c>
      <c r="J113" s="96">
        <f t="shared" si="31"/>
        <v>197.08946011999993</v>
      </c>
      <c r="K113" s="117">
        <f t="shared" si="31"/>
        <v>200.04580202179991</v>
      </c>
    </row>
    <row r="114" spans="1:17" s="50" customFormat="1" ht="13.5" thickBot="1" x14ac:dyDescent="0.25">
      <c r="A114" s="150"/>
      <c r="B114" s="49"/>
      <c r="C114" s="52" t="s">
        <v>48</v>
      </c>
      <c r="D114" s="53" t="s">
        <v>98</v>
      </c>
      <c r="E114" s="54"/>
      <c r="F114" s="54" t="s">
        <v>98</v>
      </c>
      <c r="G114" s="55">
        <f>SUM(G107:G113)</f>
        <v>196136.16</v>
      </c>
      <c r="H114" s="55">
        <f>SUM(H107:H113)</f>
        <v>34349.256480000004</v>
      </c>
      <c r="I114" s="55">
        <f>SUM(I107:I113)</f>
        <v>34864.495327199991</v>
      </c>
      <c r="J114" s="55">
        <f>SUM(J107:J113)</f>
        <v>35387.462757107991</v>
      </c>
      <c r="K114" s="56">
        <f>SUM(K107:K113)</f>
        <v>35918.274698464615</v>
      </c>
    </row>
    <row r="115" spans="1:17" x14ac:dyDescent="0.2">
      <c r="B115" s="169" t="s">
        <v>322</v>
      </c>
      <c r="C115" s="21" t="s">
        <v>42</v>
      </c>
      <c r="D115" s="38" t="s">
        <v>304</v>
      </c>
      <c r="E115" s="22"/>
      <c r="F115" s="22" t="s">
        <v>29</v>
      </c>
      <c r="G115" s="77">
        <v>0</v>
      </c>
      <c r="H115" s="97">
        <v>0</v>
      </c>
      <c r="I115" s="77">
        <v>0</v>
      </c>
      <c r="J115" s="97">
        <v>0</v>
      </c>
      <c r="K115" s="124">
        <v>0</v>
      </c>
    </row>
    <row r="116" spans="1:17" x14ac:dyDescent="0.2">
      <c r="B116" s="48"/>
      <c r="C116" s="3" t="s">
        <v>44</v>
      </c>
      <c r="D116" s="39" t="s">
        <v>303</v>
      </c>
      <c r="E116" s="17"/>
      <c r="F116" s="17" t="s">
        <v>29</v>
      </c>
      <c r="G116" s="78">
        <f>(G41*(G17+G18))+(G42*G16)+(G43*(G17+G18))+(G44*G16)+(G45*G17)+(G46*G16)</f>
        <v>10437</v>
      </c>
      <c r="H116" s="98">
        <f ca="1">(H41*(H17+H18))+(H42*H16)+(H43*(H17+H18))+(H44*H16)+(H45*H17)+(H46*H16)</f>
        <v>0</v>
      </c>
      <c r="I116" s="78">
        <f ca="1">(I41*(I17+I18))+(I42*I16)+(I43*(I17+I18))+(I44*I16)+(I45*I17)+(I46*I16)</f>
        <v>0</v>
      </c>
      <c r="J116" s="98">
        <f ca="1">(J41*(J17+J18))+(J42*J16)+(J43*(J17+J18))+(J44*J16)+(J45*J17)+(J46*J16)</f>
        <v>0</v>
      </c>
      <c r="K116" s="118">
        <f ca="1">(K41*(K17+K18))+(K42*K16)+(K43*(K17+K18))+(K44*K16)+(K45*K17)+(K46*K16)</f>
        <v>0</v>
      </c>
    </row>
    <row r="117" spans="1:17" x14ac:dyDescent="0.2">
      <c r="B117" s="48"/>
      <c r="C117" s="14" t="s">
        <v>45</v>
      </c>
      <c r="D117" s="149" t="s">
        <v>304</v>
      </c>
      <c r="E117" s="25"/>
      <c r="F117" s="25" t="s">
        <v>29</v>
      </c>
      <c r="G117" s="78">
        <v>0</v>
      </c>
      <c r="H117" s="98">
        <v>0</v>
      </c>
      <c r="I117" s="78">
        <v>0</v>
      </c>
      <c r="J117" s="98">
        <v>0</v>
      </c>
      <c r="K117" s="118">
        <v>0</v>
      </c>
    </row>
    <row r="118" spans="1:17" x14ac:dyDescent="0.2">
      <c r="B118" s="48"/>
      <c r="C118" s="14" t="s">
        <v>46</v>
      </c>
      <c r="D118" s="149" t="s">
        <v>304</v>
      </c>
      <c r="E118" s="25"/>
      <c r="F118" s="25" t="s">
        <v>29</v>
      </c>
      <c r="G118" s="78">
        <v>0</v>
      </c>
      <c r="H118" s="98">
        <v>0</v>
      </c>
      <c r="I118" s="78">
        <v>0</v>
      </c>
      <c r="J118" s="98">
        <v>0</v>
      </c>
      <c r="K118" s="118">
        <v>0</v>
      </c>
    </row>
    <row r="119" spans="1:17" x14ac:dyDescent="0.2">
      <c r="B119" s="48"/>
      <c r="C119" s="151" t="s">
        <v>47</v>
      </c>
      <c r="D119" s="148" t="s">
        <v>304</v>
      </c>
      <c r="E119" s="152"/>
      <c r="F119" s="25" t="s">
        <v>29</v>
      </c>
      <c r="G119" s="79">
        <v>0</v>
      </c>
      <c r="H119" s="100">
        <v>0</v>
      </c>
      <c r="I119" s="79">
        <v>0</v>
      </c>
      <c r="J119" s="100">
        <v>0</v>
      </c>
      <c r="K119" s="119">
        <v>0</v>
      </c>
    </row>
    <row r="120" spans="1:17" s="50" customFormat="1" ht="13.5" thickBot="1" x14ac:dyDescent="0.25">
      <c r="B120" s="51"/>
      <c r="C120" s="52" t="s">
        <v>48</v>
      </c>
      <c r="D120" s="57" t="s">
        <v>98</v>
      </c>
      <c r="E120" s="54"/>
      <c r="F120" s="54" t="s">
        <v>98</v>
      </c>
      <c r="G120" s="61">
        <f>SUM(G115:G119)</f>
        <v>10437</v>
      </c>
      <c r="H120" s="61">
        <f ca="1">SUM(H115:H119)</f>
        <v>0</v>
      </c>
      <c r="I120" s="61">
        <f ca="1">SUM(I115:I119)</f>
        <v>0</v>
      </c>
      <c r="J120" s="61">
        <f ca="1">SUM(J115:J119)</f>
        <v>0</v>
      </c>
      <c r="K120" s="62">
        <f ca="1">SUM(K115:K119)</f>
        <v>0</v>
      </c>
    </row>
    <row r="121" spans="1:17" x14ac:dyDescent="0.2">
      <c r="B121" s="169" t="s">
        <v>323</v>
      </c>
      <c r="C121" s="35" t="s">
        <v>50</v>
      </c>
      <c r="D121" s="42" t="s">
        <v>96</v>
      </c>
      <c r="E121" s="22"/>
      <c r="F121" s="22" t="s">
        <v>29</v>
      </c>
      <c r="G121" s="80">
        <v>0</v>
      </c>
      <c r="H121" s="99">
        <v>0</v>
      </c>
      <c r="I121" s="80">
        <v>0</v>
      </c>
      <c r="J121" s="99">
        <v>0</v>
      </c>
      <c r="K121" s="125">
        <v>0</v>
      </c>
    </row>
    <row r="122" spans="1:17" x14ac:dyDescent="0.2">
      <c r="B122" s="48"/>
      <c r="C122" s="14" t="s">
        <v>76</v>
      </c>
      <c r="D122" s="39" t="s">
        <v>96</v>
      </c>
      <c r="E122" s="17"/>
      <c r="F122" s="17" t="s">
        <v>29</v>
      </c>
      <c r="G122" s="78">
        <v>0</v>
      </c>
      <c r="H122" s="98">
        <v>0</v>
      </c>
      <c r="I122" s="78">
        <v>0</v>
      </c>
      <c r="J122" s="98">
        <v>0</v>
      </c>
      <c r="K122" s="118">
        <v>0</v>
      </c>
    </row>
    <row r="123" spans="1:17" x14ac:dyDescent="0.2">
      <c r="B123" s="48"/>
      <c r="C123" s="14" t="s">
        <v>51</v>
      </c>
      <c r="D123" s="39" t="s">
        <v>96</v>
      </c>
      <c r="E123" s="17"/>
      <c r="F123" s="17" t="s">
        <v>29</v>
      </c>
      <c r="G123" s="78">
        <v>0</v>
      </c>
      <c r="H123" s="98">
        <v>0</v>
      </c>
      <c r="I123" s="78">
        <v>0</v>
      </c>
      <c r="J123" s="98">
        <v>0</v>
      </c>
      <c r="K123" s="118">
        <v>0</v>
      </c>
    </row>
    <row r="124" spans="1:17" x14ac:dyDescent="0.2">
      <c r="B124" s="48"/>
      <c r="C124" s="14" t="s">
        <v>52</v>
      </c>
      <c r="D124" s="39" t="s">
        <v>96</v>
      </c>
      <c r="E124" s="17"/>
      <c r="F124" s="17" t="s">
        <v>29</v>
      </c>
      <c r="G124" s="78">
        <v>0</v>
      </c>
      <c r="H124" s="98">
        <v>0</v>
      </c>
      <c r="I124" s="78">
        <v>0</v>
      </c>
      <c r="J124" s="98">
        <v>0</v>
      </c>
      <c r="K124" s="118">
        <v>0</v>
      </c>
    </row>
    <row r="125" spans="1:17" s="50" customFormat="1" ht="13.5" thickBot="1" x14ac:dyDescent="0.25">
      <c r="B125" s="51"/>
      <c r="C125" s="52" t="s">
        <v>48</v>
      </c>
      <c r="D125" s="53" t="s">
        <v>98</v>
      </c>
      <c r="E125" s="54"/>
      <c r="F125" s="54" t="s">
        <v>98</v>
      </c>
      <c r="G125" s="61">
        <f>SUM(G121:G124)</f>
        <v>0</v>
      </c>
      <c r="H125" s="61">
        <f>SUM(H121:H124)</f>
        <v>0</v>
      </c>
      <c r="I125" s="61">
        <f>SUM(I121:I124)</f>
        <v>0</v>
      </c>
      <c r="J125" s="61">
        <f>SUM(J121:J124)</f>
        <v>0</v>
      </c>
      <c r="K125" s="62">
        <f>SUM(K121:K124)</f>
        <v>0</v>
      </c>
    </row>
    <row r="127" spans="1:17" ht="13.5" thickBot="1" x14ac:dyDescent="0.25"/>
    <row r="128" spans="1:17" s="50" customFormat="1" x14ac:dyDescent="0.2">
      <c r="C128" s="126" t="s">
        <v>120</v>
      </c>
      <c r="D128" s="127"/>
      <c r="E128" s="128"/>
      <c r="F128" s="129"/>
      <c r="G128" s="134">
        <f>SUM(G114+G120+G125)</f>
        <v>206573.16</v>
      </c>
      <c r="H128" s="134">
        <f ca="1">SUM(H114+H120+H125)</f>
        <v>34349.256480000004</v>
      </c>
      <c r="I128" s="134">
        <f ca="1">SUM(I114+I120+I125)</f>
        <v>34864.495327199991</v>
      </c>
      <c r="J128" s="134">
        <f ca="1">SUM(J114+J120+J125)</f>
        <v>35387.462757107991</v>
      </c>
      <c r="K128" s="135">
        <f ca="1">SUM(K114+K120+K125)</f>
        <v>35918.274698464615</v>
      </c>
      <c r="M128" s="1"/>
      <c r="N128" s="1"/>
      <c r="O128" s="1"/>
      <c r="P128" s="1"/>
      <c r="Q128" s="1"/>
    </row>
    <row r="129" spans="3:11" ht="13.5" thickBot="1" x14ac:dyDescent="0.25">
      <c r="C129" s="130" t="s">
        <v>121</v>
      </c>
      <c r="D129" s="131"/>
      <c r="E129" s="132"/>
      <c r="F129" s="133"/>
      <c r="G129" s="136">
        <f>G128</f>
        <v>206573.16</v>
      </c>
      <c r="H129" s="136">
        <f ca="1">G129+H128</f>
        <v>240922.41648000001</v>
      </c>
      <c r="I129" s="136">
        <f ca="1">H129+I128</f>
        <v>275786.9118072</v>
      </c>
      <c r="J129" s="136">
        <f ca="1">I129+J128</f>
        <v>311174.37456430797</v>
      </c>
      <c r="K129" s="137">
        <f ca="1">J129+K128</f>
        <v>347092.64926277258</v>
      </c>
    </row>
    <row r="130" spans="3:11" x14ac:dyDescent="0.2">
      <c r="C130" s="32" t="s">
        <v>110</v>
      </c>
      <c r="D130" s="40"/>
      <c r="E130" s="19"/>
      <c r="F130" s="19"/>
      <c r="G130" s="82">
        <f t="shared" ref="G130:K136" si="32">SUMIF($D$3:$D$125,$C130,G$3:G$125)</f>
        <v>95801.76</v>
      </c>
      <c r="H130" s="102">
        <f t="shared" si="32"/>
        <v>18366.173279999999</v>
      </c>
      <c r="I130" s="82">
        <f t="shared" si="32"/>
        <v>18641.665879200002</v>
      </c>
      <c r="J130" s="102">
        <f t="shared" si="32"/>
        <v>18921.290867388001</v>
      </c>
      <c r="K130" s="116">
        <f t="shared" si="32"/>
        <v>19205.110230398815</v>
      </c>
    </row>
    <row r="131" spans="3:11" x14ac:dyDescent="0.2">
      <c r="C131" s="59" t="s">
        <v>111</v>
      </c>
      <c r="D131" s="39"/>
      <c r="E131" s="17"/>
      <c r="F131" s="17"/>
      <c r="G131" s="82">
        <f t="shared" si="32"/>
        <v>10567.199999999999</v>
      </c>
      <c r="H131" s="102">
        <f t="shared" si="32"/>
        <v>2145.1415999999999</v>
      </c>
      <c r="I131" s="82">
        <f t="shared" si="32"/>
        <v>2177.3187239999997</v>
      </c>
      <c r="J131" s="102">
        <f t="shared" si="32"/>
        <v>2209.9785048599997</v>
      </c>
      <c r="K131" s="121">
        <f t="shared" si="32"/>
        <v>2243.1281824328994</v>
      </c>
    </row>
    <row r="132" spans="3:11" x14ac:dyDescent="0.2">
      <c r="C132" s="59" t="s">
        <v>112</v>
      </c>
      <c r="D132" s="39"/>
      <c r="E132" s="17"/>
      <c r="F132" s="17"/>
      <c r="G132" s="82">
        <f t="shared" si="32"/>
        <v>0</v>
      </c>
      <c r="H132" s="102">
        <f t="shared" si="32"/>
        <v>0</v>
      </c>
      <c r="I132" s="82">
        <f t="shared" si="32"/>
        <v>0</v>
      </c>
      <c r="J132" s="102">
        <f t="shared" si="32"/>
        <v>0</v>
      </c>
      <c r="K132" s="121">
        <f t="shared" si="32"/>
        <v>0</v>
      </c>
    </row>
    <row r="133" spans="3:11" x14ac:dyDescent="0.2">
      <c r="C133" s="59" t="s">
        <v>113</v>
      </c>
      <c r="D133" s="39"/>
      <c r="E133" s="17"/>
      <c r="F133" s="17"/>
      <c r="G133" s="82">
        <f t="shared" si="32"/>
        <v>10567.199999999999</v>
      </c>
      <c r="H133" s="102">
        <f t="shared" si="32"/>
        <v>2145.1415999999999</v>
      </c>
      <c r="I133" s="82">
        <f t="shared" si="32"/>
        <v>2177.3187239999997</v>
      </c>
      <c r="J133" s="102">
        <f t="shared" si="32"/>
        <v>2209.9785048599997</v>
      </c>
      <c r="K133" s="121">
        <f t="shared" si="32"/>
        <v>2243.1281824328994</v>
      </c>
    </row>
    <row r="134" spans="3:11" x14ac:dyDescent="0.2">
      <c r="C134" s="59" t="s">
        <v>49</v>
      </c>
      <c r="D134" s="39"/>
      <c r="E134" s="17"/>
      <c r="F134" s="17"/>
      <c r="G134" s="82">
        <f t="shared" si="32"/>
        <v>79200</v>
      </c>
      <c r="H134" s="102">
        <f t="shared" si="32"/>
        <v>11692.8</v>
      </c>
      <c r="I134" s="82">
        <f t="shared" si="32"/>
        <v>11868.191999999999</v>
      </c>
      <c r="J134" s="102">
        <f t="shared" si="32"/>
        <v>12046.214879999996</v>
      </c>
      <c r="K134" s="121">
        <f t="shared" si="32"/>
        <v>12226.908103199996</v>
      </c>
    </row>
    <row r="135" spans="3:11" x14ac:dyDescent="0.2">
      <c r="C135" s="59" t="s">
        <v>303</v>
      </c>
      <c r="D135" s="39"/>
      <c r="E135" s="17"/>
      <c r="F135" s="17"/>
      <c r="G135" s="82">
        <f t="shared" si="32"/>
        <v>10437</v>
      </c>
      <c r="H135" s="102">
        <f t="shared" ca="1" si="32"/>
        <v>0</v>
      </c>
      <c r="I135" s="82">
        <f t="shared" ca="1" si="32"/>
        <v>0</v>
      </c>
      <c r="J135" s="102">
        <f t="shared" ca="1" si="32"/>
        <v>0</v>
      </c>
      <c r="K135" s="121">
        <f t="shared" ca="1" si="32"/>
        <v>0</v>
      </c>
    </row>
    <row r="136" spans="3:11" x14ac:dyDescent="0.2">
      <c r="C136" s="59" t="s">
        <v>304</v>
      </c>
      <c r="D136" s="39"/>
      <c r="E136" s="17"/>
      <c r="F136" s="17"/>
      <c r="G136" s="82">
        <f t="shared" si="32"/>
        <v>0</v>
      </c>
      <c r="H136" s="102">
        <f t="shared" si="32"/>
        <v>0</v>
      </c>
      <c r="I136" s="82">
        <f t="shared" si="32"/>
        <v>0</v>
      </c>
      <c r="J136" s="102">
        <f t="shared" si="32"/>
        <v>0</v>
      </c>
      <c r="K136" s="121">
        <f t="shared" si="32"/>
        <v>0</v>
      </c>
    </row>
    <row r="137" spans="3:11" s="50" customFormat="1" x14ac:dyDescent="0.2">
      <c r="C137" s="159" t="s">
        <v>53</v>
      </c>
      <c r="D137" s="160"/>
      <c r="E137" s="161"/>
      <c r="F137" s="161"/>
      <c r="G137" s="162">
        <f>SUM(G130:G136)</f>
        <v>206573.15999999997</v>
      </c>
      <c r="H137" s="163">
        <f t="shared" ref="H137:K137" ca="1" si="33">SUM(H130:H136)</f>
        <v>34349.256479999996</v>
      </c>
      <c r="I137" s="162">
        <f t="shared" ca="1" si="33"/>
        <v>34864.495327199998</v>
      </c>
      <c r="J137" s="163">
        <f t="shared" ca="1" si="33"/>
        <v>35387.462757107991</v>
      </c>
      <c r="K137" s="164">
        <f t="shared" ca="1" si="33"/>
        <v>35918.274698464607</v>
      </c>
    </row>
    <row r="138" spans="3:11" ht="13.5" thickBot="1" x14ac:dyDescent="0.25">
      <c r="C138" s="33" t="s">
        <v>96</v>
      </c>
      <c r="D138" s="41"/>
      <c r="E138" s="31"/>
      <c r="F138" s="31"/>
      <c r="G138" s="81">
        <f>SUMIF($D$3:$D$125,$C138,G$3:G$125)</f>
        <v>0</v>
      </c>
      <c r="H138" s="101">
        <f>SUMIF($D$3:$D$125,$C138,H$3:H$125)</f>
        <v>0</v>
      </c>
      <c r="I138" s="81">
        <f>SUMIF($D$3:$D$125,$C138,I$3:I$125)</f>
        <v>0</v>
      </c>
      <c r="J138" s="101">
        <f>SUMIF($D$3:$D$125,$C138,J$3:J$125)</f>
        <v>0</v>
      </c>
      <c r="K138" s="120">
        <f>SUMIF($D$3:$D$125,$C138,K$3:K$125)</f>
        <v>0</v>
      </c>
    </row>
    <row r="140" spans="3:11" ht="13.5" thickBot="1" x14ac:dyDescent="0.25"/>
    <row r="141" spans="3:11" x14ac:dyDescent="0.2">
      <c r="C141" s="58" t="s">
        <v>114</v>
      </c>
      <c r="D141" s="42"/>
      <c r="E141" s="22"/>
      <c r="F141" s="22"/>
      <c r="G141" s="63"/>
      <c r="H141" s="63"/>
      <c r="I141" s="63"/>
      <c r="J141" s="63"/>
      <c r="K141" s="64"/>
    </row>
    <row r="142" spans="3:11" x14ac:dyDescent="0.2">
      <c r="C142" s="59" t="s">
        <v>54</v>
      </c>
      <c r="D142" s="39"/>
      <c r="E142" s="17"/>
      <c r="F142" s="17"/>
      <c r="G142" s="83">
        <f>G$128/((1+0.03)^G$2)</f>
        <v>200556.46601941748</v>
      </c>
      <c r="H142" s="103">
        <f ca="1">H$128/((1+0.03)^H$2)</f>
        <v>32377.468639834107</v>
      </c>
      <c r="I142" s="83">
        <f ca="1">I$128/((1+0.03)^I$2)</f>
        <v>31905.952106244276</v>
      </c>
      <c r="J142" s="103">
        <f ca="1">J$128/((1+0.03)^J$2)</f>
        <v>31441.302318289265</v>
      </c>
      <c r="K142" s="122">
        <f ca="1">K$128/((1+0.03)^K$2)</f>
        <v>30983.41927481904</v>
      </c>
    </row>
    <row r="143" spans="3:11" x14ac:dyDescent="0.2">
      <c r="C143" s="59" t="s">
        <v>55</v>
      </c>
      <c r="D143" s="39"/>
      <c r="E143" s="17"/>
      <c r="F143" s="17"/>
      <c r="G143" s="83">
        <f>G$128/((1+0.05)^G$2)</f>
        <v>196736.34285714285</v>
      </c>
      <c r="H143" s="103">
        <f ca="1">H$128/((1+0.05)^H$2)</f>
        <v>31155.788190476193</v>
      </c>
      <c r="I143" s="83">
        <f ca="1">I$128/((1+0.05)^I$2)</f>
        <v>30117.261917460306</v>
      </c>
      <c r="J143" s="103">
        <f ca="1">J$128/((1+0.05)^J$2)</f>
        <v>29113.353186878299</v>
      </c>
      <c r="K143" s="122">
        <f ca="1">K$128/((1+0.05)^K$2)</f>
        <v>28142.908080649024</v>
      </c>
    </row>
    <row r="144" spans="3:11" x14ac:dyDescent="0.2">
      <c r="C144" s="59" t="s">
        <v>56</v>
      </c>
      <c r="D144" s="39"/>
      <c r="E144" s="17"/>
      <c r="F144" s="17"/>
      <c r="G144" s="83">
        <f>G$128/((1+0.08)^G$2)</f>
        <v>191271.44444444444</v>
      </c>
      <c r="H144" s="103">
        <f ca="1">H$128/((1+0.08)^H$2)</f>
        <v>29448.951028806587</v>
      </c>
      <c r="I144" s="83">
        <f ca="1">I$128/((1+0.08)^I$2)</f>
        <v>27676.560457628399</v>
      </c>
      <c r="J144" s="103">
        <f ca="1">J$128/((1+0.08)^J$2)</f>
        <v>26010.84154119706</v>
      </c>
      <c r="K144" s="122">
        <f ca="1">K$128/((1+0.08)^K$2)</f>
        <v>24445.374226217609</v>
      </c>
    </row>
    <row r="145" spans="3:11" x14ac:dyDescent="0.2">
      <c r="C145" s="59" t="s">
        <v>57</v>
      </c>
      <c r="D145" s="39"/>
      <c r="E145" s="17"/>
      <c r="F145" s="17"/>
      <c r="G145" s="83">
        <f>G$128/((1+0.1)^G$2)</f>
        <v>187793.7818181818</v>
      </c>
      <c r="H145" s="103">
        <f ca="1">H$128/((1+0.1)^H$2)</f>
        <v>28387.815272727272</v>
      </c>
      <c r="I145" s="83">
        <f ca="1">I$128/((1+0.1)^I$2)</f>
        <v>26194.21136528924</v>
      </c>
      <c r="J145" s="103">
        <f ca="1">J$128/((1+0.1)^J$2)</f>
        <v>24170.113214335073</v>
      </c>
      <c r="K145" s="122">
        <f ca="1">K$128/((1+0.1)^K$2)</f>
        <v>22302.422647772819</v>
      </c>
    </row>
    <row r="146" spans="3:11" ht="13.5" thickBot="1" x14ac:dyDescent="0.25">
      <c r="C146" s="33" t="s">
        <v>58</v>
      </c>
      <c r="D146" s="41"/>
      <c r="E146" s="31"/>
      <c r="F146" s="31"/>
      <c r="G146" s="84">
        <f>G$128/((1+0.12)^G$2)</f>
        <v>184440.32142857142</v>
      </c>
      <c r="H146" s="104">
        <f ca="1">H$128/((1+0.12)^H$2)</f>
        <v>27383.016964285714</v>
      </c>
      <c r="I146" s="84">
        <f ca="1">I$128/((1+0.12)^I$2)</f>
        <v>24815.859123883914</v>
      </c>
      <c r="J146" s="104">
        <f ca="1">J$128/((1+0.12)^J$2)</f>
        <v>22489.3723310198</v>
      </c>
      <c r="K146" s="123">
        <f ca="1">K$128/((1+0.12)^K$2)</f>
        <v>20380.993674986694</v>
      </c>
    </row>
  </sheetData>
  <pageMargins left="0.7" right="0.7" top="0.75" bottom="0.75" header="0.3" footer="0.3"/>
  <pageSetup scale="44" fitToHeight="0" orientation="landscape" r:id="rId1"/>
  <ignoredErrors>
    <ignoredError sqref="G90 G95 H90:K95 G43:G45 H43:K43 H22:K22 G137:K137 G41 G99:K99 H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D3:D125</xm:sqref>
        </x14:dataValidation>
        <x14:dataValidation type="list" allowBlank="1" showInputMessage="1" showErrorMessage="1">
          <x14:formula1>
            <xm:f>'Validation Lists'!$C$2:$C$4</xm:f>
          </x14:formula1>
          <xm:sqref>F3:F125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13"/>
  <sheetViews>
    <sheetView zoomScale="80" zoomScaleNormal="80" workbookViewId="0"/>
  </sheetViews>
  <sheetFormatPr defaultRowHeight="12.75" x14ac:dyDescent="0.2"/>
  <cols>
    <col min="1" max="1" width="22.85546875" style="50" customWidth="1"/>
    <col min="2" max="2" width="43.7109375" style="50" bestFit="1" customWidth="1"/>
    <col min="3" max="3" width="95.85546875" style="1" customWidth="1"/>
    <col min="4" max="4" width="28.140625" style="37" customWidth="1"/>
    <col min="5" max="5" width="15.5703125" style="16" customWidth="1"/>
    <col min="6" max="6" width="17.85546875" style="16" hidden="1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6384" width="9.140625" style="1"/>
  </cols>
  <sheetData>
    <row r="1" spans="1:11" x14ac:dyDescent="0.2">
      <c r="A1" s="50" t="s">
        <v>448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SUM(G47*G57,G50*G60,G53*G63,G55*G65)/52</f>
        <v>0.35817307692307693</v>
      </c>
      <c r="H21" s="93">
        <f t="shared" ref="H21:K21" si="2">SUM(H47*H57,H50*H60,H53*H63,H55*H65)/52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f>SUM(G48*G58,G51*G61)/52</f>
        <v>0.22884615384615387</v>
      </c>
      <c r="H23" s="93">
        <f t="shared" ref="H23:K23" si="3">SUM(H48*H58,H51*H61)/52</f>
        <v>0</v>
      </c>
      <c r="I23" s="73">
        <f t="shared" si="3"/>
        <v>0</v>
      </c>
      <c r="J23" s="93">
        <f t="shared" si="3"/>
        <v>0</v>
      </c>
      <c r="K23" s="115">
        <f t="shared" si="3"/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SUM(G49*G59,G52*G62,G54*G64,G56*G66)/52</f>
        <v>0.14423076923076922</v>
      </c>
      <c r="H28" s="93">
        <f t="shared" ref="H28:K28" si="4">SUM(H49*H59,H52*H62,H54*H64,H56*H66)/52</f>
        <v>0</v>
      </c>
      <c r="I28" s="73">
        <f t="shared" si="4"/>
        <v>0</v>
      </c>
      <c r="J28" s="93">
        <f t="shared" si="4"/>
        <v>0</v>
      </c>
      <c r="K28" s="115">
        <f t="shared" si="4"/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5">ROUND(H19,0)+ROUND(H20,0)+ROUND(H21,0)+ROUND(H22,0)+ROUND(H23,0)+ROUND(H24,0)+ROUND(H25,0)+ROUND(H26,0)+ROUND(H27,0)+ROUND(H28,0)+ROUND(H29,0)+ROUND(H30,0)</f>
        <v>0</v>
      </c>
      <c r="I31" s="71">
        <f t="shared" si="5"/>
        <v>0</v>
      </c>
      <c r="J31" s="92">
        <f t="shared" si="5"/>
        <v>0</v>
      </c>
      <c r="K31" s="114">
        <f t="shared" si="5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G47+G50+G53+G55</f>
        <v>5.25</v>
      </c>
      <c r="H32" s="90">
        <f t="shared" ref="H32:K32" si="6">H47+H50+H53+H55</f>
        <v>0</v>
      </c>
      <c r="I32" s="69">
        <f t="shared" si="6"/>
        <v>0</v>
      </c>
      <c r="J32" s="90">
        <f t="shared" si="6"/>
        <v>0</v>
      </c>
      <c r="K32" s="112">
        <f t="shared" si="6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f>G48+G51</f>
        <v>2.9750000000000001</v>
      </c>
      <c r="H33" s="93">
        <f t="shared" ref="H33:K33" si="7">H48+H51</f>
        <v>0</v>
      </c>
      <c r="I33" s="73">
        <f t="shared" si="7"/>
        <v>0</v>
      </c>
      <c r="J33" s="93">
        <f t="shared" si="7"/>
        <v>0</v>
      </c>
      <c r="K33" s="115">
        <f t="shared" si="7"/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9</v>
      </c>
      <c r="H38" s="93">
        <f t="shared" ref="H38:K38" si="8">ROUNDUP(H32+H33+H34+H35+H36-H37,0)</f>
        <v>0</v>
      </c>
      <c r="I38" s="73">
        <f t="shared" si="8"/>
        <v>0</v>
      </c>
      <c r="J38" s="93">
        <f t="shared" si="8"/>
        <v>0</v>
      </c>
      <c r="K38" s="115">
        <f t="shared" si="8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9">H39</f>
        <v>0</v>
      </c>
      <c r="I40" s="73">
        <f t="shared" si="9"/>
        <v>0</v>
      </c>
      <c r="J40" s="93">
        <f t="shared" si="9"/>
        <v>0</v>
      </c>
      <c r="K40" s="115">
        <f t="shared" si="9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10">IF(H40-H39&gt;0,H40-H39,0)</f>
        <v>0</v>
      </c>
      <c r="I41" s="73">
        <f t="shared" si="10"/>
        <v>0</v>
      </c>
      <c r="J41" s="93">
        <f t="shared" si="10"/>
        <v>0</v>
      </c>
      <c r="K41" s="115">
        <f t="shared" si="10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11">H41</f>
        <v>0</v>
      </c>
      <c r="I42" s="73">
        <f t="shared" si="11"/>
        <v>0</v>
      </c>
      <c r="J42" s="93">
        <f t="shared" si="11"/>
        <v>0</v>
      </c>
      <c r="K42" s="115">
        <f t="shared" si="11"/>
        <v>0</v>
      </c>
    </row>
    <row r="43" spans="1:11" x14ac:dyDescent="0.2">
      <c r="A43" s="167"/>
      <c r="B43" s="168"/>
      <c r="C43" s="3" t="s">
        <v>38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12">ROUND(H21,0)+ROUND(H22,0)+ROUND(H23,0)+ROUND(H24,0)+ROUND(H25,0)+ROUND(H26,0)-ROUND(H36,0)</f>
        <v>0</v>
      </c>
      <c r="I43" s="73">
        <f t="shared" si="12"/>
        <v>0</v>
      </c>
      <c r="J43" s="93">
        <f t="shared" si="12"/>
        <v>0</v>
      </c>
      <c r="K43" s="115">
        <f t="shared" si="12"/>
        <v>0</v>
      </c>
    </row>
    <row r="44" spans="1:11" x14ac:dyDescent="0.2">
      <c r="A44" s="167"/>
      <c r="B44" s="168"/>
      <c r="C44" s="3" t="s">
        <v>39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0</v>
      </c>
      <c r="I44" s="73">
        <f t="shared" ref="I44:K44" si="13">I43</f>
        <v>0</v>
      </c>
      <c r="J44" s="93">
        <f t="shared" si="13"/>
        <v>0</v>
      </c>
      <c r="K44" s="115">
        <f t="shared" si="13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 t="shared" ref="H45:K45" si="14">ROUND(H27,0)+ROUND(H28,0)+ROUND(H29,0)+ROUND(H30,0)</f>
        <v>0</v>
      </c>
      <c r="I45" s="73">
        <f t="shared" si="14"/>
        <v>0</v>
      </c>
      <c r="J45" s="93">
        <f t="shared" si="14"/>
        <v>0</v>
      </c>
      <c r="K45" s="115">
        <f t="shared" si="14"/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t="shared" ref="H46:K46" si="15">H45</f>
        <v>0</v>
      </c>
      <c r="I46" s="71">
        <f t="shared" si="15"/>
        <v>0</v>
      </c>
      <c r="J46" s="92">
        <f t="shared" si="15"/>
        <v>0</v>
      </c>
      <c r="K46" s="114">
        <f t="shared" si="15"/>
        <v>0</v>
      </c>
    </row>
    <row r="47" spans="1:11" x14ac:dyDescent="0.2">
      <c r="A47" s="48" t="s">
        <v>317</v>
      </c>
      <c r="B47" s="168" t="s">
        <v>318</v>
      </c>
      <c r="C47" s="227" t="s">
        <v>246</v>
      </c>
      <c r="D47" s="40" t="s">
        <v>98</v>
      </c>
      <c r="E47" s="19"/>
      <c r="F47" s="19" t="s">
        <v>98</v>
      </c>
      <c r="G47" s="70">
        <v>0.75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227" t="s">
        <v>247</v>
      </c>
      <c r="D48" s="39" t="s">
        <v>98</v>
      </c>
      <c r="E48" s="17"/>
      <c r="F48" s="17" t="s">
        <v>98</v>
      </c>
      <c r="G48" s="73">
        <v>0.85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227" t="s">
        <v>248</v>
      </c>
      <c r="D49" s="39" t="s">
        <v>98</v>
      </c>
      <c r="E49" s="17"/>
      <c r="F49" s="17" t="s">
        <v>98</v>
      </c>
      <c r="G49" s="73">
        <v>0.5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249</v>
      </c>
      <c r="D50" s="39" t="s">
        <v>98</v>
      </c>
      <c r="E50" s="17"/>
      <c r="F50" s="17" t="s">
        <v>98</v>
      </c>
      <c r="G50" s="73">
        <v>1.125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250</v>
      </c>
      <c r="D51" s="39" t="s">
        <v>98</v>
      </c>
      <c r="E51" s="17"/>
      <c r="F51" s="17" t="s">
        <v>98</v>
      </c>
      <c r="G51" s="73">
        <v>2.125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251</v>
      </c>
      <c r="D52" s="39" t="s">
        <v>98</v>
      </c>
      <c r="E52" s="17"/>
      <c r="F52" s="17" t="s">
        <v>98</v>
      </c>
      <c r="G52" s="73">
        <v>0.5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252</v>
      </c>
      <c r="D53" s="39" t="s">
        <v>98</v>
      </c>
      <c r="E53" s="17"/>
      <c r="F53" s="17" t="s">
        <v>98</v>
      </c>
      <c r="G53" s="73">
        <v>1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253</v>
      </c>
      <c r="D54" s="39" t="s">
        <v>98</v>
      </c>
      <c r="E54" s="17"/>
      <c r="F54" s="17" t="s">
        <v>98</v>
      </c>
      <c r="G54" s="73">
        <v>0.5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14" t="s">
        <v>254</v>
      </c>
      <c r="D55" s="39" t="s">
        <v>98</v>
      </c>
      <c r="E55" s="17"/>
      <c r="F55" s="17" t="s">
        <v>98</v>
      </c>
      <c r="G55" s="73">
        <v>2.375</v>
      </c>
      <c r="H55" s="93">
        <v>0</v>
      </c>
      <c r="I55" s="73">
        <v>0</v>
      </c>
      <c r="J55" s="93">
        <v>0</v>
      </c>
      <c r="K55" s="115">
        <v>0</v>
      </c>
    </row>
    <row r="56" spans="1:11" ht="13.5" thickBot="1" x14ac:dyDescent="0.25">
      <c r="A56" s="48"/>
      <c r="B56" s="49"/>
      <c r="C56" s="225" t="s">
        <v>255</v>
      </c>
      <c r="D56" s="43" t="s">
        <v>98</v>
      </c>
      <c r="E56" s="31"/>
      <c r="F56" s="31" t="s">
        <v>98</v>
      </c>
      <c r="G56" s="71">
        <v>0.5</v>
      </c>
      <c r="H56" s="92">
        <v>0</v>
      </c>
      <c r="I56" s="71">
        <v>0</v>
      </c>
      <c r="J56" s="92">
        <v>0</v>
      </c>
      <c r="K56" s="114">
        <v>0</v>
      </c>
    </row>
    <row r="57" spans="1:11" x14ac:dyDescent="0.2">
      <c r="A57" s="165" t="s">
        <v>320</v>
      </c>
      <c r="B57" s="48" t="s">
        <v>318</v>
      </c>
      <c r="C57" s="3" t="s">
        <v>246</v>
      </c>
      <c r="D57" s="42" t="s">
        <v>98</v>
      </c>
      <c r="E57" s="17"/>
      <c r="F57" s="17" t="s">
        <v>98</v>
      </c>
      <c r="G57" s="73">
        <v>4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48"/>
      <c r="C58" s="3" t="s">
        <v>247</v>
      </c>
      <c r="D58" s="39" t="s">
        <v>98</v>
      </c>
      <c r="E58" s="17"/>
      <c r="F58" s="17" t="s">
        <v>98</v>
      </c>
      <c r="G58" s="73">
        <v>4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48"/>
      <c r="C59" s="3" t="s">
        <v>248</v>
      </c>
      <c r="D59" s="39" t="s">
        <v>98</v>
      </c>
      <c r="E59" s="17"/>
      <c r="F59" s="17" t="s">
        <v>98</v>
      </c>
      <c r="G59" s="73">
        <v>4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48"/>
      <c r="C60" s="3" t="s">
        <v>249</v>
      </c>
      <c r="D60" s="39" t="s">
        <v>98</v>
      </c>
      <c r="E60" s="17"/>
      <c r="F60" s="17" t="s">
        <v>98</v>
      </c>
      <c r="G60" s="73">
        <v>4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48"/>
      <c r="C61" s="3" t="s">
        <v>250</v>
      </c>
      <c r="D61" s="39" t="s">
        <v>98</v>
      </c>
      <c r="E61" s="17"/>
      <c r="F61" s="17" t="s">
        <v>98</v>
      </c>
      <c r="G61" s="73">
        <v>4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48"/>
      <c r="C62" s="3" t="s">
        <v>251</v>
      </c>
      <c r="D62" s="39" t="s">
        <v>98</v>
      </c>
      <c r="E62" s="17"/>
      <c r="F62" s="17" t="s">
        <v>98</v>
      </c>
      <c r="G62" s="73">
        <v>4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48"/>
      <c r="C63" s="3" t="s">
        <v>252</v>
      </c>
      <c r="D63" s="39" t="s">
        <v>98</v>
      </c>
      <c r="E63" s="17"/>
      <c r="F63" s="17" t="s">
        <v>98</v>
      </c>
      <c r="G63" s="73">
        <v>4</v>
      </c>
      <c r="H63" s="93">
        <v>0</v>
      </c>
      <c r="I63" s="73">
        <v>0</v>
      </c>
      <c r="J63" s="93">
        <v>0</v>
      </c>
      <c r="K63" s="115">
        <v>0</v>
      </c>
    </row>
    <row r="64" spans="1:11" x14ac:dyDescent="0.2">
      <c r="A64" s="48"/>
      <c r="B64" s="48"/>
      <c r="C64" s="3" t="s">
        <v>253</v>
      </c>
      <c r="D64" s="39" t="s">
        <v>98</v>
      </c>
      <c r="E64" s="17"/>
      <c r="F64" s="17" t="s">
        <v>98</v>
      </c>
      <c r="G64" s="73">
        <v>4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48"/>
      <c r="C65" s="3" t="s">
        <v>254</v>
      </c>
      <c r="D65" s="39" t="s">
        <v>98</v>
      </c>
      <c r="E65" s="17"/>
      <c r="F65" s="17" t="s">
        <v>98</v>
      </c>
      <c r="G65" s="73">
        <v>3</v>
      </c>
      <c r="H65" s="93">
        <v>0</v>
      </c>
      <c r="I65" s="73">
        <v>0</v>
      </c>
      <c r="J65" s="93">
        <v>0</v>
      </c>
      <c r="K65" s="115">
        <v>0</v>
      </c>
    </row>
    <row r="66" spans="1:11" ht="13.5" thickBot="1" x14ac:dyDescent="0.25">
      <c r="A66" s="48"/>
      <c r="B66" s="48"/>
      <c r="C66" s="11" t="s">
        <v>255</v>
      </c>
      <c r="D66" s="44" t="s">
        <v>98</v>
      </c>
      <c r="E66" s="18"/>
      <c r="F66" s="18" t="s">
        <v>98</v>
      </c>
      <c r="G66" s="145">
        <v>3</v>
      </c>
      <c r="H66" s="146">
        <v>0</v>
      </c>
      <c r="I66" s="145">
        <v>0</v>
      </c>
      <c r="J66" s="146">
        <v>0</v>
      </c>
      <c r="K66" s="147">
        <v>0</v>
      </c>
    </row>
    <row r="67" spans="1:11" x14ac:dyDescent="0.2">
      <c r="A67" s="169" t="s">
        <v>321</v>
      </c>
      <c r="B67" s="169" t="s">
        <v>318</v>
      </c>
      <c r="C67" s="21" t="s">
        <v>246</v>
      </c>
      <c r="D67" s="42" t="s">
        <v>110</v>
      </c>
      <c r="E67" s="22"/>
      <c r="F67" s="22" t="s">
        <v>29</v>
      </c>
      <c r="G67" s="74">
        <f>G57*G47*G5</f>
        <v>5328</v>
      </c>
      <c r="H67" s="94">
        <f>H57*H47*H5</f>
        <v>0</v>
      </c>
      <c r="I67" s="74">
        <f>I57*I47*I5</f>
        <v>0</v>
      </c>
      <c r="J67" s="94">
        <f>J57*J47*J5</f>
        <v>0</v>
      </c>
      <c r="K67" s="116">
        <f>K57*K47*K5</f>
        <v>0</v>
      </c>
    </row>
    <row r="68" spans="1:11" x14ac:dyDescent="0.2">
      <c r="A68" s="48"/>
      <c r="B68" s="48"/>
      <c r="C68" s="3" t="s">
        <v>247</v>
      </c>
      <c r="D68" s="39" t="s">
        <v>111</v>
      </c>
      <c r="E68" s="17"/>
      <c r="F68" s="17" t="s">
        <v>29</v>
      </c>
      <c r="G68" s="75">
        <f>G58*G48*G7</f>
        <v>6038.4</v>
      </c>
      <c r="H68" s="95">
        <f>H58*H48*H7</f>
        <v>0</v>
      </c>
      <c r="I68" s="75">
        <f>I58*I48*I7</f>
        <v>0</v>
      </c>
      <c r="J68" s="95">
        <f>J58*J48*J7</f>
        <v>0</v>
      </c>
      <c r="K68" s="117">
        <f>K58*K48*K7</f>
        <v>0</v>
      </c>
    </row>
    <row r="69" spans="1:11" x14ac:dyDescent="0.2">
      <c r="A69" s="48"/>
      <c r="B69" s="48"/>
      <c r="C69" s="3" t="s">
        <v>248</v>
      </c>
      <c r="D69" s="39" t="s">
        <v>49</v>
      </c>
      <c r="E69" s="17"/>
      <c r="F69" s="17" t="s">
        <v>29</v>
      </c>
      <c r="G69" s="75">
        <f>G49*G59*G12</f>
        <v>14400</v>
      </c>
      <c r="H69" s="95">
        <f>H49*H59*H12</f>
        <v>0</v>
      </c>
      <c r="I69" s="75">
        <f>I49*I59*I12</f>
        <v>0</v>
      </c>
      <c r="J69" s="95">
        <f>J49*J59*J12</f>
        <v>0</v>
      </c>
      <c r="K69" s="117">
        <f>K49*K59*K12</f>
        <v>0</v>
      </c>
    </row>
    <row r="70" spans="1:11" x14ac:dyDescent="0.2">
      <c r="A70" s="48"/>
      <c r="B70" s="48"/>
      <c r="C70" s="3" t="s">
        <v>249</v>
      </c>
      <c r="D70" s="39" t="s">
        <v>110</v>
      </c>
      <c r="E70" s="17"/>
      <c r="F70" s="17" t="s">
        <v>29</v>
      </c>
      <c r="G70" s="75">
        <f>G60*G50*G5</f>
        <v>7992</v>
      </c>
      <c r="H70" s="95">
        <f>H60*H50*H5</f>
        <v>0</v>
      </c>
      <c r="I70" s="75">
        <f>I60*I50*I5</f>
        <v>0</v>
      </c>
      <c r="J70" s="95">
        <f>J60*J50*J5</f>
        <v>0</v>
      </c>
      <c r="K70" s="117">
        <f>K60*K50*K5</f>
        <v>0</v>
      </c>
    </row>
    <row r="71" spans="1:11" x14ac:dyDescent="0.2">
      <c r="A71" s="48"/>
      <c r="B71" s="48"/>
      <c r="C71" s="3" t="s">
        <v>250</v>
      </c>
      <c r="D71" s="39" t="s">
        <v>111</v>
      </c>
      <c r="E71" s="17"/>
      <c r="F71" s="17" t="s">
        <v>29</v>
      </c>
      <c r="G71" s="75">
        <f>G61*G51*G7</f>
        <v>15096</v>
      </c>
      <c r="H71" s="95">
        <f>H61*H51*H7</f>
        <v>0</v>
      </c>
      <c r="I71" s="75">
        <f>I61*I51*I7</f>
        <v>0</v>
      </c>
      <c r="J71" s="95">
        <f>J61*J51*J7</f>
        <v>0</v>
      </c>
      <c r="K71" s="117">
        <f>K61*K51*K7</f>
        <v>0</v>
      </c>
    </row>
    <row r="72" spans="1:11" x14ac:dyDescent="0.2">
      <c r="A72" s="48"/>
      <c r="B72" s="48"/>
      <c r="C72" s="3" t="s">
        <v>251</v>
      </c>
      <c r="D72" s="39" t="s">
        <v>49</v>
      </c>
      <c r="E72" s="17"/>
      <c r="F72" s="17" t="s">
        <v>29</v>
      </c>
      <c r="G72" s="75">
        <f>G62*G52*G12</f>
        <v>14400</v>
      </c>
      <c r="H72" s="95">
        <f>H62*H52*H12</f>
        <v>0</v>
      </c>
      <c r="I72" s="75">
        <f>I62*I52*I12</f>
        <v>0</v>
      </c>
      <c r="J72" s="95">
        <f>J62*J52*J12</f>
        <v>0</v>
      </c>
      <c r="K72" s="117">
        <f>K62*K52*K12</f>
        <v>0</v>
      </c>
    </row>
    <row r="73" spans="1:11" x14ac:dyDescent="0.2">
      <c r="A73" s="48"/>
      <c r="B73" s="48"/>
      <c r="C73" s="3" t="s">
        <v>252</v>
      </c>
      <c r="D73" s="39" t="s">
        <v>110</v>
      </c>
      <c r="E73" s="17"/>
      <c r="F73" s="17" t="s">
        <v>29</v>
      </c>
      <c r="G73" s="75">
        <f>G63*G53*G5</f>
        <v>7104</v>
      </c>
      <c r="H73" s="95">
        <f>H63*H53*H5</f>
        <v>0</v>
      </c>
      <c r="I73" s="75">
        <f>I63*I53*I5</f>
        <v>0</v>
      </c>
      <c r="J73" s="95">
        <f>J63*J53*J5</f>
        <v>0</v>
      </c>
      <c r="K73" s="117">
        <f>K63*K53*K5</f>
        <v>0</v>
      </c>
    </row>
    <row r="74" spans="1:11" x14ac:dyDescent="0.2">
      <c r="A74" s="48"/>
      <c r="B74" s="48"/>
      <c r="C74" s="3" t="s">
        <v>253</v>
      </c>
      <c r="D74" s="39" t="s">
        <v>49</v>
      </c>
      <c r="E74" s="17"/>
      <c r="F74" s="17" t="s">
        <v>29</v>
      </c>
      <c r="G74" s="75">
        <f>G64*G54*G12</f>
        <v>14400</v>
      </c>
      <c r="H74" s="95">
        <f>H64*H54*H12</f>
        <v>0</v>
      </c>
      <c r="I74" s="75">
        <f>I64*I54*I12</f>
        <v>0</v>
      </c>
      <c r="J74" s="95">
        <f>J64*J54*J12</f>
        <v>0</v>
      </c>
      <c r="K74" s="117">
        <f>K64*K54*K12</f>
        <v>0</v>
      </c>
    </row>
    <row r="75" spans="1:11" x14ac:dyDescent="0.2">
      <c r="A75" s="48"/>
      <c r="B75" s="48"/>
      <c r="C75" s="3" t="s">
        <v>254</v>
      </c>
      <c r="D75" s="39" t="s">
        <v>110</v>
      </c>
      <c r="E75" s="17"/>
      <c r="F75" s="17" t="s">
        <v>29</v>
      </c>
      <c r="G75" s="75">
        <f>G65*G55*G5</f>
        <v>12654</v>
      </c>
      <c r="H75" s="95">
        <f>H65*H55*H5</f>
        <v>0</v>
      </c>
      <c r="I75" s="75">
        <f>I65*I55*I5</f>
        <v>0</v>
      </c>
      <c r="J75" s="95">
        <f>J65*J55*J5</f>
        <v>0</v>
      </c>
      <c r="K75" s="117">
        <f>K65*K55*K5</f>
        <v>0</v>
      </c>
    </row>
    <row r="76" spans="1:11" x14ac:dyDescent="0.2">
      <c r="A76" s="48"/>
      <c r="B76" s="48"/>
      <c r="C76" s="3" t="s">
        <v>255</v>
      </c>
      <c r="D76" s="39" t="s">
        <v>49</v>
      </c>
      <c r="E76" s="17"/>
      <c r="F76" s="17" t="s">
        <v>29</v>
      </c>
      <c r="G76" s="75">
        <f>G64*G54*G12</f>
        <v>14400</v>
      </c>
      <c r="H76" s="95">
        <f>H64*H54*H12</f>
        <v>0</v>
      </c>
      <c r="I76" s="75">
        <f>I64*I54*I12</f>
        <v>0</v>
      </c>
      <c r="J76" s="95">
        <f>J64*J54*J12</f>
        <v>0</v>
      </c>
      <c r="K76" s="117">
        <f>K64*K54*K12</f>
        <v>0</v>
      </c>
    </row>
    <row r="77" spans="1:11" x14ac:dyDescent="0.2">
      <c r="A77" s="48"/>
      <c r="B77" s="168"/>
      <c r="C77" s="3" t="s">
        <v>256</v>
      </c>
      <c r="D77" s="39" t="s">
        <v>98</v>
      </c>
      <c r="E77" s="17"/>
      <c r="F77" s="17" t="s">
        <v>98</v>
      </c>
      <c r="G77" s="75">
        <f>SUM(G67:G69)</f>
        <v>25766.400000000001</v>
      </c>
      <c r="H77" s="95">
        <f t="shared" ref="H77:K77" si="16">SUM(H67:H69)</f>
        <v>0</v>
      </c>
      <c r="I77" s="75">
        <f t="shared" si="16"/>
        <v>0</v>
      </c>
      <c r="J77" s="95">
        <f t="shared" si="16"/>
        <v>0</v>
      </c>
      <c r="K77" s="117">
        <f t="shared" si="16"/>
        <v>0</v>
      </c>
    </row>
    <row r="78" spans="1:11" x14ac:dyDescent="0.2">
      <c r="A78" s="48"/>
      <c r="B78" s="168"/>
      <c r="C78" s="3" t="s">
        <v>257</v>
      </c>
      <c r="D78" s="39" t="s">
        <v>98</v>
      </c>
      <c r="E78" s="17"/>
      <c r="F78" s="17" t="s">
        <v>98</v>
      </c>
      <c r="G78" s="75">
        <f>SUM(G70:G72)</f>
        <v>37488</v>
      </c>
      <c r="H78" s="95">
        <f t="shared" ref="H78:K78" si="17">SUM(H70:H72)</f>
        <v>0</v>
      </c>
      <c r="I78" s="75">
        <f t="shared" si="17"/>
        <v>0</v>
      </c>
      <c r="J78" s="95">
        <f t="shared" si="17"/>
        <v>0</v>
      </c>
      <c r="K78" s="117">
        <f t="shared" si="17"/>
        <v>0</v>
      </c>
    </row>
    <row r="79" spans="1:11" x14ac:dyDescent="0.2">
      <c r="A79" s="48"/>
      <c r="B79" s="168"/>
      <c r="C79" s="3" t="s">
        <v>258</v>
      </c>
      <c r="D79" s="39" t="s">
        <v>98</v>
      </c>
      <c r="E79" s="17"/>
      <c r="F79" s="17" t="s">
        <v>98</v>
      </c>
      <c r="G79" s="75">
        <f>SUM(G73:G74)</f>
        <v>21504</v>
      </c>
      <c r="H79" s="95">
        <f t="shared" ref="H79:K79" si="18">SUM(H73:H74)</f>
        <v>0</v>
      </c>
      <c r="I79" s="75">
        <f t="shared" si="18"/>
        <v>0</v>
      </c>
      <c r="J79" s="95">
        <f t="shared" si="18"/>
        <v>0</v>
      </c>
      <c r="K79" s="117">
        <f t="shared" si="18"/>
        <v>0</v>
      </c>
    </row>
    <row r="80" spans="1:11" x14ac:dyDescent="0.2">
      <c r="A80" s="48"/>
      <c r="B80" s="168"/>
      <c r="C80" s="3" t="s">
        <v>259</v>
      </c>
      <c r="D80" s="39" t="s">
        <v>98</v>
      </c>
      <c r="E80" s="17"/>
      <c r="F80" s="17" t="s">
        <v>98</v>
      </c>
      <c r="G80" s="75">
        <f>SUM(G75:G76)</f>
        <v>27054</v>
      </c>
      <c r="H80" s="95">
        <f t="shared" ref="H80:K80" si="19">SUM(H75:H76)</f>
        <v>0</v>
      </c>
      <c r="I80" s="75">
        <f t="shared" si="19"/>
        <v>0</v>
      </c>
      <c r="J80" s="95">
        <f t="shared" si="19"/>
        <v>0</v>
      </c>
      <c r="K80" s="117">
        <f t="shared" si="19"/>
        <v>0</v>
      </c>
    </row>
    <row r="81" spans="1:17" s="50" customFormat="1" ht="13.5" thickBot="1" x14ac:dyDescent="0.25">
      <c r="A81" s="150"/>
      <c r="B81" s="49"/>
      <c r="C81" s="52" t="s">
        <v>48</v>
      </c>
      <c r="D81" s="53" t="s">
        <v>98</v>
      </c>
      <c r="E81" s="54"/>
      <c r="F81" s="54" t="s">
        <v>98</v>
      </c>
      <c r="G81" s="55">
        <f>SUM(G77:G80)</f>
        <v>111812.4</v>
      </c>
      <c r="H81" s="55">
        <f>SUM(H77:H80)</f>
        <v>0</v>
      </c>
      <c r="I81" s="55">
        <f>SUM(I77:I80)</f>
        <v>0</v>
      </c>
      <c r="J81" s="55">
        <f>SUM(J77:J80)</f>
        <v>0</v>
      </c>
      <c r="K81" s="56">
        <f>SUM(K77:K80)</f>
        <v>0</v>
      </c>
    </row>
    <row r="82" spans="1:17" x14ac:dyDescent="0.2">
      <c r="B82" s="169" t="s">
        <v>322</v>
      </c>
      <c r="C82" s="21" t="s">
        <v>42</v>
      </c>
      <c r="D82" s="38" t="s">
        <v>304</v>
      </c>
      <c r="E82" s="22"/>
      <c r="F82" s="22" t="s">
        <v>29</v>
      </c>
      <c r="G82" s="77">
        <v>0</v>
      </c>
      <c r="H82" s="97">
        <v>0</v>
      </c>
      <c r="I82" s="77">
        <v>0</v>
      </c>
      <c r="J82" s="97">
        <v>0</v>
      </c>
      <c r="K82" s="124">
        <v>0</v>
      </c>
    </row>
    <row r="83" spans="1:17" x14ac:dyDescent="0.2">
      <c r="B83" s="48"/>
      <c r="C83" s="3" t="s">
        <v>44</v>
      </c>
      <c r="D83" s="39" t="s">
        <v>303</v>
      </c>
      <c r="E83" s="17"/>
      <c r="F83" s="17" t="s">
        <v>29</v>
      </c>
      <c r="G83" s="78">
        <f>(G41*(G17+G18))+(G42*G16)+(G43*(G17+G18))+(G44*G16)+(G45*G17)+(G46*G16)</f>
        <v>0</v>
      </c>
      <c r="H83" s="98">
        <f>(H41*(H17+H18))+(H42*H16)+(H43*(H17+H18))+(H44*H16)+(H45*H17)+(H46*H16)</f>
        <v>0</v>
      </c>
      <c r="I83" s="78">
        <f>(I41*(I17+I18))+(I42*I16)+(I43*(I17+I18))+(I44*I16)+(I45*I17)+(I46*I16)</f>
        <v>0</v>
      </c>
      <c r="J83" s="98">
        <f>(J41*(J17+J18))+(J42*J16)+(J43*(J17+J18))+(J44*J16)+(J45*J17)+(J46*J16)</f>
        <v>0</v>
      </c>
      <c r="K83" s="118">
        <f>(K41*(K17+K18))+(K42*K16)+(K43*(K17+K18))+(K44*K16)+(K45*K17)+(K46*K16)</f>
        <v>0</v>
      </c>
    </row>
    <row r="84" spans="1:17" x14ac:dyDescent="0.2">
      <c r="B84" s="48"/>
      <c r="C84" s="14" t="s">
        <v>45</v>
      </c>
      <c r="D84" s="149" t="s">
        <v>304</v>
      </c>
      <c r="E84" s="25"/>
      <c r="F84" s="25" t="s">
        <v>29</v>
      </c>
      <c r="G84" s="78">
        <v>0</v>
      </c>
      <c r="H84" s="98">
        <v>0</v>
      </c>
      <c r="I84" s="78">
        <v>0</v>
      </c>
      <c r="J84" s="98">
        <v>0</v>
      </c>
      <c r="K84" s="118">
        <v>0</v>
      </c>
    </row>
    <row r="85" spans="1:17" x14ac:dyDescent="0.2">
      <c r="B85" s="48"/>
      <c r="C85" s="14" t="s">
        <v>46</v>
      </c>
      <c r="D85" s="149" t="s">
        <v>304</v>
      </c>
      <c r="E85" s="25"/>
      <c r="F85" s="25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1:17" x14ac:dyDescent="0.2">
      <c r="B86" s="48"/>
      <c r="C86" s="151" t="s">
        <v>47</v>
      </c>
      <c r="D86" s="148" t="s">
        <v>304</v>
      </c>
      <c r="E86" s="152"/>
      <c r="F86" s="25" t="s">
        <v>29</v>
      </c>
      <c r="G86" s="79">
        <v>0</v>
      </c>
      <c r="H86" s="100">
        <v>0</v>
      </c>
      <c r="I86" s="79">
        <v>0</v>
      </c>
      <c r="J86" s="100">
        <v>0</v>
      </c>
      <c r="K86" s="119">
        <v>0</v>
      </c>
    </row>
    <row r="87" spans="1:17" s="50" customFormat="1" ht="13.5" thickBot="1" x14ac:dyDescent="0.25">
      <c r="B87" s="51"/>
      <c r="C87" s="52" t="s">
        <v>48</v>
      </c>
      <c r="D87" s="57" t="s">
        <v>98</v>
      </c>
      <c r="E87" s="54"/>
      <c r="F87" s="54" t="s">
        <v>98</v>
      </c>
      <c r="G87" s="61">
        <f>SUM(G82:G86)</f>
        <v>0</v>
      </c>
      <c r="H87" s="61">
        <f>SUM(H82:H86)</f>
        <v>0</v>
      </c>
      <c r="I87" s="61">
        <f>SUM(I82:I86)</f>
        <v>0</v>
      </c>
      <c r="J87" s="61">
        <f>SUM(J82:J86)</f>
        <v>0</v>
      </c>
      <c r="K87" s="62">
        <f>SUM(K82:K86)</f>
        <v>0</v>
      </c>
    </row>
    <row r="88" spans="1:17" x14ac:dyDescent="0.2">
      <c r="B88" s="169" t="s">
        <v>323</v>
      </c>
      <c r="C88" s="35" t="s">
        <v>50</v>
      </c>
      <c r="D88" s="42" t="s">
        <v>96</v>
      </c>
      <c r="E88" s="22"/>
      <c r="F88" s="22" t="s">
        <v>29</v>
      </c>
      <c r="G88" s="80">
        <v>0</v>
      </c>
      <c r="H88" s="99">
        <v>0</v>
      </c>
      <c r="I88" s="80">
        <v>0</v>
      </c>
      <c r="J88" s="99">
        <v>0</v>
      </c>
      <c r="K88" s="125">
        <v>0</v>
      </c>
    </row>
    <row r="89" spans="1:17" x14ac:dyDescent="0.2">
      <c r="B89" s="48"/>
      <c r="C89" s="14" t="s">
        <v>76</v>
      </c>
      <c r="D89" s="39" t="s">
        <v>96</v>
      </c>
      <c r="E89" s="17"/>
      <c r="F89" s="17" t="s">
        <v>29</v>
      </c>
      <c r="G89" s="78">
        <v>0</v>
      </c>
      <c r="H89" s="98">
        <v>0</v>
      </c>
      <c r="I89" s="78">
        <v>0</v>
      </c>
      <c r="J89" s="98">
        <v>0</v>
      </c>
      <c r="K89" s="118">
        <v>0</v>
      </c>
    </row>
    <row r="90" spans="1:17" x14ac:dyDescent="0.2">
      <c r="B90" s="48"/>
      <c r="C90" s="14" t="s">
        <v>51</v>
      </c>
      <c r="D90" s="39" t="s">
        <v>96</v>
      </c>
      <c r="E90" s="17"/>
      <c r="F90" s="17" t="s">
        <v>29</v>
      </c>
      <c r="G90" s="78">
        <v>0</v>
      </c>
      <c r="H90" s="98">
        <v>0</v>
      </c>
      <c r="I90" s="78">
        <v>0</v>
      </c>
      <c r="J90" s="98">
        <v>0</v>
      </c>
      <c r="K90" s="118">
        <v>0</v>
      </c>
    </row>
    <row r="91" spans="1:17" x14ac:dyDescent="0.2">
      <c r="B91" s="48"/>
      <c r="C91" s="14" t="s">
        <v>52</v>
      </c>
      <c r="D91" s="39" t="s">
        <v>96</v>
      </c>
      <c r="E91" s="17"/>
      <c r="F91" s="17" t="s">
        <v>29</v>
      </c>
      <c r="G91" s="78">
        <v>0</v>
      </c>
      <c r="H91" s="98">
        <v>0</v>
      </c>
      <c r="I91" s="78">
        <v>0</v>
      </c>
      <c r="J91" s="98">
        <v>0</v>
      </c>
      <c r="K91" s="118">
        <v>0</v>
      </c>
    </row>
    <row r="92" spans="1:17" s="50" customFormat="1" ht="13.5" thickBot="1" x14ac:dyDescent="0.25">
      <c r="B92" s="51"/>
      <c r="C92" s="52" t="s">
        <v>48</v>
      </c>
      <c r="D92" s="53" t="s">
        <v>98</v>
      </c>
      <c r="E92" s="54"/>
      <c r="F92" s="54" t="s">
        <v>98</v>
      </c>
      <c r="G92" s="61">
        <f>SUM(G88:G91)</f>
        <v>0</v>
      </c>
      <c r="H92" s="61">
        <f>SUM(H88:H91)</f>
        <v>0</v>
      </c>
      <c r="I92" s="61">
        <f>SUM(I88:I91)</f>
        <v>0</v>
      </c>
      <c r="J92" s="61">
        <f>SUM(J88:J91)</f>
        <v>0</v>
      </c>
      <c r="K92" s="62">
        <f>SUM(K88:K91)</f>
        <v>0</v>
      </c>
    </row>
    <row r="94" spans="1:17" ht="13.5" thickBot="1" x14ac:dyDescent="0.25"/>
    <row r="95" spans="1:17" s="50" customFormat="1" x14ac:dyDescent="0.2">
      <c r="C95" s="126" t="s">
        <v>120</v>
      </c>
      <c r="D95" s="127"/>
      <c r="E95" s="128"/>
      <c r="F95" s="129"/>
      <c r="G95" s="134">
        <f>SUM(G81+G87+G92)</f>
        <v>111812.4</v>
      </c>
      <c r="H95" s="134">
        <f>SUM(H81+H87+H92)</f>
        <v>0</v>
      </c>
      <c r="I95" s="134">
        <f>SUM(I81+I87+I92)</f>
        <v>0</v>
      </c>
      <c r="J95" s="134">
        <f>SUM(J81+J87+J92)</f>
        <v>0</v>
      </c>
      <c r="K95" s="135">
        <f>SUM(K81+K87+K92)</f>
        <v>0</v>
      </c>
      <c r="M95" s="1"/>
      <c r="N95" s="1"/>
      <c r="O95" s="1"/>
      <c r="P95" s="1"/>
      <c r="Q95" s="1"/>
    </row>
    <row r="96" spans="1:17" ht="13.5" thickBot="1" x14ac:dyDescent="0.25">
      <c r="C96" s="130" t="s">
        <v>121</v>
      </c>
      <c r="D96" s="131"/>
      <c r="E96" s="132"/>
      <c r="F96" s="133"/>
      <c r="G96" s="136">
        <f>G95</f>
        <v>111812.4</v>
      </c>
      <c r="H96" s="136">
        <f>G96+H95</f>
        <v>111812.4</v>
      </c>
      <c r="I96" s="136">
        <f>H96+I95</f>
        <v>111812.4</v>
      </c>
      <c r="J96" s="136">
        <f>I96+J95</f>
        <v>111812.4</v>
      </c>
      <c r="K96" s="137">
        <f>J96+K95</f>
        <v>111812.4</v>
      </c>
    </row>
    <row r="97" spans="3:11" x14ac:dyDescent="0.2">
      <c r="C97" s="32" t="s">
        <v>110</v>
      </c>
      <c r="D97" s="40"/>
      <c r="E97" s="19"/>
      <c r="F97" s="19"/>
      <c r="G97" s="82">
        <f t="shared" ref="G97:K103" si="20">SUMIF($D$3:$D$92,$C97,G$3:G$92)</f>
        <v>33078</v>
      </c>
      <c r="H97" s="102">
        <f t="shared" si="20"/>
        <v>0</v>
      </c>
      <c r="I97" s="82">
        <f t="shared" si="20"/>
        <v>0</v>
      </c>
      <c r="J97" s="102">
        <f t="shared" si="20"/>
        <v>0</v>
      </c>
      <c r="K97" s="121">
        <f t="shared" si="20"/>
        <v>0</v>
      </c>
    </row>
    <row r="98" spans="3:11" x14ac:dyDescent="0.2">
      <c r="C98" s="59" t="s">
        <v>111</v>
      </c>
      <c r="D98" s="39"/>
      <c r="E98" s="17"/>
      <c r="F98" s="17"/>
      <c r="G98" s="82">
        <f t="shared" si="20"/>
        <v>21134.400000000001</v>
      </c>
      <c r="H98" s="102">
        <f t="shared" si="20"/>
        <v>0</v>
      </c>
      <c r="I98" s="82">
        <f t="shared" si="20"/>
        <v>0</v>
      </c>
      <c r="J98" s="102">
        <f t="shared" si="20"/>
        <v>0</v>
      </c>
      <c r="K98" s="121">
        <f t="shared" si="20"/>
        <v>0</v>
      </c>
    </row>
    <row r="99" spans="3:11" x14ac:dyDescent="0.2">
      <c r="C99" s="59" t="s">
        <v>112</v>
      </c>
      <c r="D99" s="39"/>
      <c r="E99" s="17"/>
      <c r="F99" s="17"/>
      <c r="G99" s="82">
        <f t="shared" si="20"/>
        <v>0</v>
      </c>
      <c r="H99" s="102">
        <f t="shared" si="20"/>
        <v>0</v>
      </c>
      <c r="I99" s="82">
        <f t="shared" si="20"/>
        <v>0</v>
      </c>
      <c r="J99" s="102">
        <f t="shared" si="20"/>
        <v>0</v>
      </c>
      <c r="K99" s="121">
        <f t="shared" si="20"/>
        <v>0</v>
      </c>
    </row>
    <row r="100" spans="3:11" x14ac:dyDescent="0.2">
      <c r="C100" s="59" t="s">
        <v>113</v>
      </c>
      <c r="D100" s="39"/>
      <c r="E100" s="17"/>
      <c r="F100" s="17"/>
      <c r="G100" s="82">
        <f t="shared" si="20"/>
        <v>0</v>
      </c>
      <c r="H100" s="102">
        <f t="shared" si="20"/>
        <v>0</v>
      </c>
      <c r="I100" s="82">
        <f t="shared" si="20"/>
        <v>0</v>
      </c>
      <c r="J100" s="102">
        <f t="shared" si="20"/>
        <v>0</v>
      </c>
      <c r="K100" s="121">
        <f t="shared" si="20"/>
        <v>0</v>
      </c>
    </row>
    <row r="101" spans="3:11" x14ac:dyDescent="0.2">
      <c r="C101" s="59" t="s">
        <v>49</v>
      </c>
      <c r="D101" s="39"/>
      <c r="E101" s="17"/>
      <c r="F101" s="17"/>
      <c r="G101" s="82">
        <f t="shared" si="20"/>
        <v>57600</v>
      </c>
      <c r="H101" s="102">
        <f t="shared" si="20"/>
        <v>0</v>
      </c>
      <c r="I101" s="82">
        <f t="shared" si="20"/>
        <v>0</v>
      </c>
      <c r="J101" s="102">
        <f t="shared" si="20"/>
        <v>0</v>
      </c>
      <c r="K101" s="121">
        <f t="shared" si="20"/>
        <v>0</v>
      </c>
    </row>
    <row r="102" spans="3:11" x14ac:dyDescent="0.2">
      <c r="C102" s="59" t="s">
        <v>303</v>
      </c>
      <c r="D102" s="39"/>
      <c r="E102" s="17"/>
      <c r="F102" s="17"/>
      <c r="G102" s="82">
        <f t="shared" si="20"/>
        <v>0</v>
      </c>
      <c r="H102" s="102">
        <f t="shared" si="20"/>
        <v>0</v>
      </c>
      <c r="I102" s="82">
        <f t="shared" si="20"/>
        <v>0</v>
      </c>
      <c r="J102" s="102">
        <f t="shared" si="20"/>
        <v>0</v>
      </c>
      <c r="K102" s="121">
        <f t="shared" si="20"/>
        <v>0</v>
      </c>
    </row>
    <row r="103" spans="3:11" x14ac:dyDescent="0.2">
      <c r="C103" s="59" t="s">
        <v>304</v>
      </c>
      <c r="D103" s="39"/>
      <c r="E103" s="17"/>
      <c r="F103" s="17"/>
      <c r="G103" s="82">
        <f t="shared" si="20"/>
        <v>0</v>
      </c>
      <c r="H103" s="102">
        <f t="shared" si="20"/>
        <v>0</v>
      </c>
      <c r="I103" s="82">
        <f t="shared" si="20"/>
        <v>0</v>
      </c>
      <c r="J103" s="102">
        <f t="shared" si="20"/>
        <v>0</v>
      </c>
      <c r="K103" s="121">
        <f t="shared" si="20"/>
        <v>0</v>
      </c>
    </row>
    <row r="104" spans="3:11" s="50" customFormat="1" x14ac:dyDescent="0.2">
      <c r="C104" s="159" t="s">
        <v>53</v>
      </c>
      <c r="D104" s="160"/>
      <c r="E104" s="161"/>
      <c r="F104" s="161"/>
      <c r="G104" s="162">
        <f>SUM(G97:G103)</f>
        <v>111812.4</v>
      </c>
      <c r="H104" s="163">
        <f t="shared" ref="H104:K104" si="21">SUM(H97:H103)</f>
        <v>0</v>
      </c>
      <c r="I104" s="162">
        <f t="shared" si="21"/>
        <v>0</v>
      </c>
      <c r="J104" s="163">
        <f t="shared" si="21"/>
        <v>0</v>
      </c>
      <c r="K104" s="164">
        <f t="shared" si="21"/>
        <v>0</v>
      </c>
    </row>
    <row r="105" spans="3:11" ht="13.5" thickBot="1" x14ac:dyDescent="0.25">
      <c r="C105" s="33" t="s">
        <v>96</v>
      </c>
      <c r="D105" s="41"/>
      <c r="E105" s="31"/>
      <c r="F105" s="31"/>
      <c r="G105" s="81">
        <f>SUMIF($D$3:$D$92,$C105,G$3:G$92)</f>
        <v>0</v>
      </c>
      <c r="H105" s="101">
        <f>SUMIF($D$3:$D$92,$C105,H$3:H$92)</f>
        <v>0</v>
      </c>
      <c r="I105" s="81">
        <f>SUMIF($D$3:$D$92,$C105,I$3:I$92)</f>
        <v>0</v>
      </c>
      <c r="J105" s="101">
        <f>SUMIF($D$3:$D$92,$C105,J$3:J$92)</f>
        <v>0</v>
      </c>
      <c r="K105" s="120">
        <f>SUMIF($D$3:$D$92,$C105,K$3:K$92)</f>
        <v>0</v>
      </c>
    </row>
    <row r="107" spans="3:11" ht="13.5" thickBot="1" x14ac:dyDescent="0.25"/>
    <row r="108" spans="3:11" x14ac:dyDescent="0.2">
      <c r="C108" s="58" t="s">
        <v>114</v>
      </c>
      <c r="D108" s="42"/>
      <c r="E108" s="22"/>
      <c r="F108" s="22"/>
      <c r="G108" s="63"/>
      <c r="H108" s="63"/>
      <c r="I108" s="63"/>
      <c r="J108" s="63"/>
      <c r="K108" s="64"/>
    </row>
    <row r="109" spans="3:11" x14ac:dyDescent="0.2">
      <c r="C109" s="59" t="s">
        <v>54</v>
      </c>
      <c r="D109" s="39"/>
      <c r="E109" s="17"/>
      <c r="F109" s="17"/>
      <c r="G109" s="83">
        <f>G$95/((1+0.03)^G$2)</f>
        <v>108555.72815533979</v>
      </c>
      <c r="H109" s="103">
        <f>H$95/((1+0.03)^H$2)</f>
        <v>0</v>
      </c>
      <c r="I109" s="83">
        <f>I$95/((1+0.03)^I$2)</f>
        <v>0</v>
      </c>
      <c r="J109" s="103">
        <f>J$95/((1+0.03)^J$2)</f>
        <v>0</v>
      </c>
      <c r="K109" s="122">
        <f>K$95/((1+0.03)^K$2)</f>
        <v>0</v>
      </c>
    </row>
    <row r="110" spans="3:11" x14ac:dyDescent="0.2">
      <c r="C110" s="59" t="s">
        <v>55</v>
      </c>
      <c r="D110" s="39"/>
      <c r="E110" s="17"/>
      <c r="F110" s="17"/>
      <c r="G110" s="83">
        <f>G$95/((1+0.05)^G$2)</f>
        <v>106487.99999999999</v>
      </c>
      <c r="H110" s="103">
        <f>H$95/((1+0.05)^H$2)</f>
        <v>0</v>
      </c>
      <c r="I110" s="83">
        <f>I$95/((1+0.05)^I$2)</f>
        <v>0</v>
      </c>
      <c r="J110" s="103">
        <f>J$95/((1+0.05)^J$2)</f>
        <v>0</v>
      </c>
      <c r="K110" s="122">
        <f>K$95/((1+0.05)^K$2)</f>
        <v>0</v>
      </c>
    </row>
    <row r="111" spans="3:11" x14ac:dyDescent="0.2">
      <c r="C111" s="59" t="s">
        <v>56</v>
      </c>
      <c r="D111" s="39"/>
      <c r="E111" s="17"/>
      <c r="F111" s="17"/>
      <c r="G111" s="83">
        <f>G$95/((1+0.08)^G$2)</f>
        <v>103529.99999999999</v>
      </c>
      <c r="H111" s="103">
        <f>H$95/((1+0.08)^H$2)</f>
        <v>0</v>
      </c>
      <c r="I111" s="83">
        <f>I$95/((1+0.08)^I$2)</f>
        <v>0</v>
      </c>
      <c r="J111" s="103">
        <f>J$95/((1+0.08)^J$2)</f>
        <v>0</v>
      </c>
      <c r="K111" s="122">
        <f>K$95/((1+0.08)^K$2)</f>
        <v>0</v>
      </c>
    </row>
    <row r="112" spans="3:11" x14ac:dyDescent="0.2">
      <c r="C112" s="59" t="s">
        <v>57</v>
      </c>
      <c r="D112" s="39"/>
      <c r="E112" s="17"/>
      <c r="F112" s="17"/>
      <c r="G112" s="83">
        <f>G$95/((1+0.1)^G$2)</f>
        <v>101647.63636363635</v>
      </c>
      <c r="H112" s="103">
        <f>H$95/((1+0.1)^H$2)</f>
        <v>0</v>
      </c>
      <c r="I112" s="83">
        <f>I$95/((1+0.1)^I$2)</f>
        <v>0</v>
      </c>
      <c r="J112" s="103">
        <f>J$95/((1+0.1)^J$2)</f>
        <v>0</v>
      </c>
      <c r="K112" s="122">
        <f>K$95/((1+0.1)^K$2)</f>
        <v>0</v>
      </c>
    </row>
    <row r="113" spans="3:11" ht="13.5" thickBot="1" x14ac:dyDescent="0.25">
      <c r="C113" s="33" t="s">
        <v>58</v>
      </c>
      <c r="D113" s="41"/>
      <c r="E113" s="31"/>
      <c r="F113" s="31"/>
      <c r="G113" s="84">
        <f>G$95/((1+0.12)^G$2)</f>
        <v>99832.499999999985</v>
      </c>
      <c r="H113" s="104">
        <f>H$95/((1+0.12)^H$2)</f>
        <v>0</v>
      </c>
      <c r="I113" s="84">
        <f>I$95/((1+0.12)^I$2)</f>
        <v>0</v>
      </c>
      <c r="J113" s="104">
        <f>J$95/((1+0.12)^J$2)</f>
        <v>0</v>
      </c>
      <c r="K113" s="123">
        <f>K$95/((1+0.12)^K$2)</f>
        <v>0</v>
      </c>
    </row>
  </sheetData>
  <pageMargins left="0.7" right="0.7" top="0.75" bottom="0.75" header="0.3" footer="0.3"/>
  <pageSetup scale="43" fitToHeight="0" orientation="landscape" r:id="rId1"/>
  <ignoredErrors>
    <ignoredError sqref="F68:G68 G43:K43 G104:K104 G41:K41 G45:K45 G44 I44:K4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D3:D92</xm:sqref>
        </x14:dataValidation>
        <x14:dataValidation type="list" allowBlank="1" showInputMessage="1" showErrorMessage="1">
          <x14:formula1>
            <xm:f>'Validation Lists'!$C$2:$C$4</xm:f>
          </x14:formula1>
          <xm:sqref>F3:F92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Description0 xmlns="d6831dd4-7619-462e-8291-2ac6402116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F0D612E0CF6449B322DA833EB12AF8" ma:contentTypeVersion="2" ma:contentTypeDescription="Create a new document." ma:contentTypeScope="" ma:versionID="15f78511579a051e5a56dc045dd6986f">
  <xsd:schema xmlns:xsd="http://www.w3.org/2001/XMLSchema" xmlns:xs="http://www.w3.org/2001/XMLSchema" xmlns:p="http://schemas.microsoft.com/office/2006/metadata/properties" xmlns:ns2="d6831dd4-7619-462e-8291-2ac6402116a4" xmlns:ns3="http://schemas.microsoft.com/sharepoint/v4" targetNamespace="http://schemas.microsoft.com/office/2006/metadata/properties" ma:root="true" ma:fieldsID="0746322e8e94bad5754c2d8391fe332d" ns2:_="" ns3:_="">
    <xsd:import namespace="d6831dd4-7619-462e-8291-2ac6402116a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31dd4-7619-462e-8291-2ac6402116a4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849ED1-87D7-4B9A-A9D4-314522F74217}">
  <ds:schemaRefs>
    <ds:schemaRef ds:uri="http://purl.org/dc/elements/1.1/"/>
    <ds:schemaRef ds:uri="http://purl.org/dc/dcmitype/"/>
    <ds:schemaRef ds:uri="http://schemas.microsoft.com/sharepoint/v4"/>
    <ds:schemaRef ds:uri="http://purl.org/dc/terms/"/>
    <ds:schemaRef ds:uri="http://schemas.microsoft.com/office/infopath/2007/PartnerControls"/>
    <ds:schemaRef ds:uri="http://schemas.microsoft.com/office/2006/documentManagement/types"/>
    <ds:schemaRef ds:uri="d6831dd4-7619-462e-8291-2ac6402116a4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BFF554-6F32-4849-9D75-CB2094B1FE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831dd4-7619-462e-8291-2ac6402116a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832021-0764-417B-82DD-7ABBB5085A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Summary</vt:lpstr>
      <vt:lpstr>Effort Detail</vt:lpstr>
      <vt:lpstr>Init 1</vt:lpstr>
      <vt:lpstr>Init 2</vt:lpstr>
      <vt:lpstr>Init 3</vt:lpstr>
      <vt:lpstr>Init 4</vt:lpstr>
      <vt:lpstr>Init 5</vt:lpstr>
      <vt:lpstr>Init 6</vt:lpstr>
      <vt:lpstr>Init 7</vt:lpstr>
      <vt:lpstr>Init 8</vt:lpstr>
      <vt:lpstr>Init 9</vt:lpstr>
      <vt:lpstr>Init 10</vt:lpstr>
      <vt:lpstr>Init 11</vt:lpstr>
      <vt:lpstr>Init 12</vt:lpstr>
      <vt:lpstr>Init 13</vt:lpstr>
      <vt:lpstr>Init 14</vt:lpstr>
      <vt:lpstr>Init 15</vt:lpstr>
      <vt:lpstr>Assumptions</vt:lpstr>
      <vt:lpstr>Validation Lists</vt:lpstr>
    </vt:vector>
  </TitlesOfParts>
  <Company>SCCM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Nancy Bass</dc:creator>
  <cp:lastModifiedBy>Cannon, Denise</cp:lastModifiedBy>
  <cp:lastPrinted>2015-01-30T20:33:44Z</cp:lastPrinted>
  <dcterms:created xsi:type="dcterms:W3CDTF">2014-12-29T15:27:17Z</dcterms:created>
  <dcterms:modified xsi:type="dcterms:W3CDTF">2015-01-30T20:57:51Z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0x01010068F0D612E0CF6449B322DA833EB12AF8</vt:lpwstr>
  </property>
</Properties>
</file>